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0" yWindow="0" windowWidth="12504" windowHeight="8976" tabRatio="821"/>
  </bookViews>
  <sheets>
    <sheet name="Kostimi i planit te veprimit" sheetId="2" r:id="rId1"/>
    <sheet name="Totali_Qellimet politike" sheetId="3" r:id="rId2"/>
    <sheet name="Nevojat kapitale" sheetId="18" r:id="rId3"/>
    <sheet name="Grafik Kostot" sheetId="14" r:id="rId4"/>
    <sheet name="Grafik-Ndarja e kostove" sheetId="15" r:id="rId5"/>
    <sheet name="Grafik_ Qellimet e politikave" sheetId="16" r:id="rId6"/>
  </sheets>
  <externalReferences>
    <externalReference r:id="rId7"/>
  </externalReferences>
  <definedNames>
    <definedName name="_Hlk14952534" localSheetId="2">'Nevojat kapitale'!$C$22</definedName>
  </definedNames>
  <calcPr calcId="124519"/>
</workbook>
</file>

<file path=xl/calcChain.xml><?xml version="1.0" encoding="utf-8"?>
<calcChain xmlns="http://schemas.openxmlformats.org/spreadsheetml/2006/main">
  <c r="M83" i="3"/>
  <c r="M82"/>
  <c r="M81"/>
  <c r="M80"/>
  <c r="M79"/>
  <c r="M78"/>
  <c r="M77"/>
  <c r="M76"/>
  <c r="E18" i="18"/>
  <c r="AE222" i="2"/>
  <c r="AF222"/>
  <c r="AG222"/>
  <c r="AH222"/>
  <c r="AI222"/>
  <c r="AJ222"/>
  <c r="AK222"/>
  <c r="Y223"/>
  <c r="J66" i="3"/>
  <c r="J65"/>
  <c r="S66"/>
  <c r="S65"/>
  <c r="Q57"/>
  <c r="P57"/>
  <c r="R57"/>
  <c r="G57"/>
  <c r="I57" s="1"/>
  <c r="G56"/>
  <c r="H57"/>
  <c r="V326" i="2"/>
  <c r="V325"/>
  <c r="X325" s="1"/>
  <c r="X327" s="1"/>
  <c r="X328" s="1"/>
  <c r="M326"/>
  <c r="O326" s="1"/>
  <c r="AC326"/>
  <c r="AB326"/>
  <c r="AC325"/>
  <c r="AB325"/>
  <c r="AD325"/>
  <c r="AD326"/>
  <c r="AD324"/>
  <c r="AC324"/>
  <c r="AB324"/>
  <c r="AJ325"/>
  <c r="AK325"/>
  <c r="AK326"/>
  <c r="AK324"/>
  <c r="AJ324"/>
  <c r="AJ326"/>
  <c r="AI326"/>
  <c r="AI327" s="1"/>
  <c r="AI328" s="1"/>
  <c r="AI325"/>
  <c r="AI324"/>
  <c r="AH325"/>
  <c r="AH326"/>
  <c r="AH327" s="1"/>
  <c r="AH328" s="1"/>
  <c r="AH324"/>
  <c r="AF326"/>
  <c r="AF325"/>
  <c r="AF324"/>
  <c r="AE328"/>
  <c r="AB327"/>
  <c r="AB328" s="1"/>
  <c r="AC327"/>
  <c r="AC328" s="1"/>
  <c r="AE327"/>
  <c r="AF327"/>
  <c r="AF328" s="1"/>
  <c r="AJ327"/>
  <c r="AJ328" s="1"/>
  <c r="AE326"/>
  <c r="AE325"/>
  <c r="AE324"/>
  <c r="Z325"/>
  <c r="Z326"/>
  <c r="Z327" s="1"/>
  <c r="Y325"/>
  <c r="AA325" s="1"/>
  <c r="Y326"/>
  <c r="AA324"/>
  <c r="Z324"/>
  <c r="Y324"/>
  <c r="X326"/>
  <c r="W326"/>
  <c r="W325"/>
  <c r="X324"/>
  <c r="W324"/>
  <c r="V324"/>
  <c r="U325"/>
  <c r="U326"/>
  <c r="U327" s="1"/>
  <c r="U328" s="1"/>
  <c r="S328"/>
  <c r="T328"/>
  <c r="S327"/>
  <c r="T327"/>
  <c r="S326"/>
  <c r="S325"/>
  <c r="T326"/>
  <c r="T325"/>
  <c r="U324"/>
  <c r="T324"/>
  <c r="S324"/>
  <c r="R325"/>
  <c r="R326"/>
  <c r="R327" s="1"/>
  <c r="R328" s="1"/>
  <c r="P328"/>
  <c r="Q328"/>
  <c r="P327"/>
  <c r="Q327"/>
  <c r="P326"/>
  <c r="P325"/>
  <c r="Q326"/>
  <c r="Q325"/>
  <c r="R324"/>
  <c r="Q324"/>
  <c r="P324"/>
  <c r="O325"/>
  <c r="M325"/>
  <c r="N326"/>
  <c r="N325"/>
  <c r="L325"/>
  <c r="L326"/>
  <c r="O324"/>
  <c r="N324"/>
  <c r="M324"/>
  <c r="J326"/>
  <c r="J325"/>
  <c r="K326"/>
  <c r="K325"/>
  <c r="L324"/>
  <c r="K324"/>
  <c r="J324"/>
  <c r="AL324"/>
  <c r="Z319"/>
  <c r="Y320"/>
  <c r="Y319"/>
  <c r="AC320"/>
  <c r="AD320"/>
  <c r="AL320" s="1"/>
  <c r="AD319"/>
  <c r="AC319"/>
  <c r="AB319"/>
  <c r="AB321"/>
  <c r="AC321"/>
  <c r="K65" i="3" s="1"/>
  <c r="AE321" i="2"/>
  <c r="AF321"/>
  <c r="AH321"/>
  <c r="AI321"/>
  <c r="AJ321"/>
  <c r="AK321"/>
  <c r="AK320"/>
  <c r="AK319"/>
  <c r="AJ320"/>
  <c r="AJ319"/>
  <c r="AI320"/>
  <c r="AI319"/>
  <c r="AH320"/>
  <c r="AH319"/>
  <c r="AF320"/>
  <c r="AF319"/>
  <c r="AE320"/>
  <c r="M65" i="3" s="1"/>
  <c r="AE319" i="2"/>
  <c r="AA320"/>
  <c r="AA319"/>
  <c r="AA321" s="1"/>
  <c r="Z320"/>
  <c r="Z321"/>
  <c r="H65" i="3" s="1"/>
  <c r="S320" i="2"/>
  <c r="V320"/>
  <c r="W320"/>
  <c r="X320"/>
  <c r="X319"/>
  <c r="W319"/>
  <c r="W321" s="1"/>
  <c r="V319"/>
  <c r="V321" s="1"/>
  <c r="X321"/>
  <c r="Y321"/>
  <c r="G65" i="3" s="1"/>
  <c r="P65"/>
  <c r="Q65"/>
  <c r="T320" i="2"/>
  <c r="U320"/>
  <c r="U319"/>
  <c r="T319"/>
  <c r="S319"/>
  <c r="S321" s="1"/>
  <c r="P320"/>
  <c r="Q320"/>
  <c r="P321"/>
  <c r="Q321"/>
  <c r="R319"/>
  <c r="Q319"/>
  <c r="P319"/>
  <c r="M320"/>
  <c r="N320"/>
  <c r="N321" s="1"/>
  <c r="K321"/>
  <c r="L321"/>
  <c r="M321"/>
  <c r="J321"/>
  <c r="O320"/>
  <c r="O321" s="1"/>
  <c r="O319"/>
  <c r="N319"/>
  <c r="M319"/>
  <c r="J320"/>
  <c r="L320" s="1"/>
  <c r="K320"/>
  <c r="L319"/>
  <c r="K319"/>
  <c r="J319"/>
  <c r="AB315"/>
  <c r="AC315"/>
  <c r="AD315" s="1"/>
  <c r="AC314"/>
  <c r="AB314"/>
  <c r="AC313"/>
  <c r="AB313"/>
  <c r="AB316" s="1"/>
  <c r="J64" i="3" s="1"/>
  <c r="J67" s="1"/>
  <c r="AC312" i="2"/>
  <c r="AB312"/>
  <c r="AC311"/>
  <c r="AB311"/>
  <c r="AC310"/>
  <c r="AB310"/>
  <c r="AD310"/>
  <c r="AC309"/>
  <c r="AD309" s="1"/>
  <c r="AB309"/>
  <c r="AD311"/>
  <c r="AD312"/>
  <c r="AD313"/>
  <c r="AD314"/>
  <c r="AD308"/>
  <c r="AC308"/>
  <c r="AB308"/>
  <c r="AJ315"/>
  <c r="AK315" s="1"/>
  <c r="AI315"/>
  <c r="AJ314"/>
  <c r="AI314"/>
  <c r="AJ313"/>
  <c r="AI313"/>
  <c r="AJ312"/>
  <c r="AI312"/>
  <c r="AJ311"/>
  <c r="AI311"/>
  <c r="AJ310"/>
  <c r="AK310" s="1"/>
  <c r="AI310"/>
  <c r="AJ309"/>
  <c r="AI309"/>
  <c r="AK309"/>
  <c r="AK311"/>
  <c r="AL311" s="1"/>
  <c r="AK312"/>
  <c r="AK313"/>
  <c r="AK314"/>
  <c r="AK308"/>
  <c r="AJ308"/>
  <c r="AI308"/>
  <c r="AH309"/>
  <c r="AH316" s="1"/>
  <c r="AH310"/>
  <c r="AH311"/>
  <c r="AH312"/>
  <c r="AH313"/>
  <c r="AH314"/>
  <c r="AH315"/>
  <c r="AH308"/>
  <c r="AF315"/>
  <c r="AF314"/>
  <c r="AF313"/>
  <c r="AF312"/>
  <c r="AF311"/>
  <c r="AF310"/>
  <c r="AF309"/>
  <c r="AF308"/>
  <c r="AE315"/>
  <c r="AE314"/>
  <c r="AE316" s="1"/>
  <c r="M64" i="3" s="1"/>
  <c r="AE313" i="2"/>
  <c r="AE312"/>
  <c r="AE311"/>
  <c r="AE310"/>
  <c r="AE309"/>
  <c r="AE308"/>
  <c r="AA309"/>
  <c r="AA316" s="1"/>
  <c r="AA310"/>
  <c r="AA311"/>
  <c r="AA312"/>
  <c r="AA313"/>
  <c r="AA314"/>
  <c r="AA315"/>
  <c r="AA308"/>
  <c r="Z309"/>
  <c r="Z310"/>
  <c r="Z316" s="1"/>
  <c r="H64" i="3" s="1"/>
  <c r="Z311" i="2"/>
  <c r="Z312"/>
  <c r="Z313"/>
  <c r="Z314"/>
  <c r="Z315"/>
  <c r="Z308"/>
  <c r="Y309"/>
  <c r="Y310"/>
  <c r="Y316" s="1"/>
  <c r="G64" i="3" s="1"/>
  <c r="Y311" i="2"/>
  <c r="Y312"/>
  <c r="Y313"/>
  <c r="Y314"/>
  <c r="Y315"/>
  <c r="Y308"/>
  <c r="X309"/>
  <c r="X310"/>
  <c r="X316" s="1"/>
  <c r="X311"/>
  <c r="X312"/>
  <c r="X313"/>
  <c r="X314"/>
  <c r="X315"/>
  <c r="V315"/>
  <c r="V314"/>
  <c r="V313"/>
  <c r="V312"/>
  <c r="V311"/>
  <c r="V310"/>
  <c r="V309"/>
  <c r="W315"/>
  <c r="W314"/>
  <c r="W313"/>
  <c r="W312"/>
  <c r="W311"/>
  <c r="W310"/>
  <c r="W309"/>
  <c r="X308"/>
  <c r="U309"/>
  <c r="U310"/>
  <c r="U311"/>
  <c r="U312"/>
  <c r="U313"/>
  <c r="U314"/>
  <c r="U315"/>
  <c r="S315"/>
  <c r="S314"/>
  <c r="S313"/>
  <c r="S312"/>
  <c r="S311"/>
  <c r="S310"/>
  <c r="S309"/>
  <c r="T315"/>
  <c r="T314"/>
  <c r="T313"/>
  <c r="T312"/>
  <c r="T311"/>
  <c r="T310"/>
  <c r="T309"/>
  <c r="T316"/>
  <c r="U308"/>
  <c r="W308"/>
  <c r="V308"/>
  <c r="T308"/>
  <c r="S308"/>
  <c r="R309"/>
  <c r="R310"/>
  <c r="R311"/>
  <c r="R312"/>
  <c r="R313"/>
  <c r="R314"/>
  <c r="R315"/>
  <c r="P315"/>
  <c r="P314"/>
  <c r="P313"/>
  <c r="P312"/>
  <c r="P311"/>
  <c r="P310"/>
  <c r="P309"/>
  <c r="Q315"/>
  <c r="Q314"/>
  <c r="Q313"/>
  <c r="Q312"/>
  <c r="Q311"/>
  <c r="Q310"/>
  <c r="Q309"/>
  <c r="R308"/>
  <c r="R316" s="1"/>
  <c r="Q308"/>
  <c r="P308"/>
  <c r="M315"/>
  <c r="O309"/>
  <c r="O310"/>
  <c r="O311"/>
  <c r="O312"/>
  <c r="O313"/>
  <c r="O314"/>
  <c r="O315"/>
  <c r="M314"/>
  <c r="M313"/>
  <c r="M312"/>
  <c r="M311"/>
  <c r="M316" s="1"/>
  <c r="M310"/>
  <c r="M309"/>
  <c r="N315"/>
  <c r="N314"/>
  <c r="N313"/>
  <c r="N312"/>
  <c r="N311"/>
  <c r="N310"/>
  <c r="N309"/>
  <c r="O308"/>
  <c r="O316" s="1"/>
  <c r="N308"/>
  <c r="M308"/>
  <c r="K316"/>
  <c r="L316"/>
  <c r="AI316"/>
  <c r="P64" i="3" s="1"/>
  <c r="J316" i="2"/>
  <c r="L309"/>
  <c r="L310"/>
  <c r="L311"/>
  <c r="L312"/>
  <c r="L313"/>
  <c r="L314"/>
  <c r="L315"/>
  <c r="J315"/>
  <c r="J314"/>
  <c r="J313"/>
  <c r="J312"/>
  <c r="J311"/>
  <c r="J310"/>
  <c r="J309"/>
  <c r="K315"/>
  <c r="K314"/>
  <c r="K313"/>
  <c r="K312"/>
  <c r="K311"/>
  <c r="K310"/>
  <c r="K309"/>
  <c r="L308"/>
  <c r="K308"/>
  <c r="J308"/>
  <c r="S63" i="3"/>
  <c r="Q63"/>
  <c r="P63"/>
  <c r="R63" s="1"/>
  <c r="O63"/>
  <c r="N65"/>
  <c r="N63"/>
  <c r="M63"/>
  <c r="L63"/>
  <c r="K63"/>
  <c r="J63"/>
  <c r="H63"/>
  <c r="G63"/>
  <c r="AC304" i="2"/>
  <c r="AB304"/>
  <c r="AB303"/>
  <c r="AD303"/>
  <c r="AC302"/>
  <c r="AB302"/>
  <c r="AC301"/>
  <c r="AD301" s="1"/>
  <c r="AB301"/>
  <c r="AD302"/>
  <c r="AD304"/>
  <c r="AD300"/>
  <c r="AC300"/>
  <c r="AB300"/>
  <c r="AJ304"/>
  <c r="AI304"/>
  <c r="AJ303"/>
  <c r="AI303"/>
  <c r="AJ302"/>
  <c r="AI302"/>
  <c r="AJ301"/>
  <c r="AI301"/>
  <c r="AK301"/>
  <c r="AK302"/>
  <c r="AK303"/>
  <c r="AK304"/>
  <c r="AK300"/>
  <c r="AJ300"/>
  <c r="AI300"/>
  <c r="AH301"/>
  <c r="AH302"/>
  <c r="AH303"/>
  <c r="AH304"/>
  <c r="AF304"/>
  <c r="AF303"/>
  <c r="AF302"/>
  <c r="AF301"/>
  <c r="AF300"/>
  <c r="AE304"/>
  <c r="AE303"/>
  <c r="AE302"/>
  <c r="AE301"/>
  <c r="AE305" s="1"/>
  <c r="AE300"/>
  <c r="AH300" s="1"/>
  <c r="X302"/>
  <c r="X304"/>
  <c r="V304"/>
  <c r="V303"/>
  <c r="X303" s="1"/>
  <c r="V302"/>
  <c r="V301"/>
  <c r="X301" s="1"/>
  <c r="W304"/>
  <c r="W303"/>
  <c r="W302"/>
  <c r="W301"/>
  <c r="X300"/>
  <c r="W300"/>
  <c r="V300"/>
  <c r="AB305"/>
  <c r="AI305"/>
  <c r="AJ305"/>
  <c r="U302"/>
  <c r="S304"/>
  <c r="S303"/>
  <c r="U303" s="1"/>
  <c r="S302"/>
  <c r="S301"/>
  <c r="U301" s="1"/>
  <c r="T304"/>
  <c r="U304" s="1"/>
  <c r="T303"/>
  <c r="T302"/>
  <c r="T301"/>
  <c r="U300"/>
  <c r="T300"/>
  <c r="T305" s="1"/>
  <c r="S300"/>
  <c r="S305" s="1"/>
  <c r="R302"/>
  <c r="R304"/>
  <c r="P304"/>
  <c r="P303"/>
  <c r="Y303" s="1"/>
  <c r="P302"/>
  <c r="P301"/>
  <c r="R301" s="1"/>
  <c r="Q304"/>
  <c r="Q303"/>
  <c r="Z303" s="1"/>
  <c r="Q302"/>
  <c r="Q301"/>
  <c r="Q300"/>
  <c r="P300"/>
  <c r="R300" s="1"/>
  <c r="O303"/>
  <c r="O304"/>
  <c r="M304"/>
  <c r="M303"/>
  <c r="M302"/>
  <c r="O302" s="1"/>
  <c r="M301"/>
  <c r="O301" s="1"/>
  <c r="N304"/>
  <c r="N303"/>
  <c r="N302"/>
  <c r="N301"/>
  <c r="N300"/>
  <c r="M300"/>
  <c r="O300" s="1"/>
  <c r="L302"/>
  <c r="L304"/>
  <c r="J304"/>
  <c r="Y304" s="1"/>
  <c r="J303"/>
  <c r="L303" s="1"/>
  <c r="J302"/>
  <c r="Y302" s="1"/>
  <c r="J301"/>
  <c r="Y301" s="1"/>
  <c r="K304"/>
  <c r="Z304" s="1"/>
  <c r="K303"/>
  <c r="K302"/>
  <c r="Z302" s="1"/>
  <c r="K301"/>
  <c r="Z301" s="1"/>
  <c r="L300"/>
  <c r="K300"/>
  <c r="Z300" s="1"/>
  <c r="J300"/>
  <c r="AC290"/>
  <c r="AC289"/>
  <c r="AD289" s="1"/>
  <c r="AB290"/>
  <c r="AB289"/>
  <c r="AC288"/>
  <c r="AB288"/>
  <c r="AC287"/>
  <c r="AD287" s="1"/>
  <c r="AB287"/>
  <c r="AC286"/>
  <c r="AB286"/>
  <c r="AC285"/>
  <c r="AD285" s="1"/>
  <c r="AB285"/>
  <c r="AC284"/>
  <c r="AD284" s="1"/>
  <c r="AB284"/>
  <c r="AB283"/>
  <c r="AJ290"/>
  <c r="AI290"/>
  <c r="AK290" s="1"/>
  <c r="AJ289"/>
  <c r="AI289"/>
  <c r="AJ286"/>
  <c r="AI288"/>
  <c r="AI287"/>
  <c r="AJ287"/>
  <c r="AI286"/>
  <c r="AK286" s="1"/>
  <c r="AJ285"/>
  <c r="AI285"/>
  <c r="AK285" s="1"/>
  <c r="AK288"/>
  <c r="AJ284"/>
  <c r="AI284"/>
  <c r="AK284" s="1"/>
  <c r="AJ283"/>
  <c r="AI283"/>
  <c r="AK283" s="1"/>
  <c r="AD290"/>
  <c r="AD283"/>
  <c r="AC283"/>
  <c r="AF290"/>
  <c r="AF289"/>
  <c r="AH289" s="1"/>
  <c r="AF288"/>
  <c r="AF287"/>
  <c r="AF286"/>
  <c r="AF285"/>
  <c r="AH285" s="1"/>
  <c r="AF284"/>
  <c r="AE290"/>
  <c r="AE287"/>
  <c r="AE286"/>
  <c r="AH286" s="1"/>
  <c r="AE285"/>
  <c r="AE284"/>
  <c r="AE289"/>
  <c r="AE288"/>
  <c r="AH288" s="1"/>
  <c r="AH287"/>
  <c r="AH290"/>
  <c r="AH283"/>
  <c r="AF283"/>
  <c r="AE283"/>
  <c r="V290"/>
  <c r="X290" s="1"/>
  <c r="W283"/>
  <c r="X283" s="1"/>
  <c r="V283"/>
  <c r="Y287"/>
  <c r="V289"/>
  <c r="Y289" s="1"/>
  <c r="AA289" s="1"/>
  <c r="V288"/>
  <c r="X288" s="1"/>
  <c r="V287"/>
  <c r="V286"/>
  <c r="X286" s="1"/>
  <c r="V285"/>
  <c r="Y285" s="1"/>
  <c r="AA285" s="1"/>
  <c r="V284"/>
  <c r="X284" s="1"/>
  <c r="W290"/>
  <c r="W289"/>
  <c r="Z289" s="1"/>
  <c r="W288"/>
  <c r="W287"/>
  <c r="X287" s="1"/>
  <c r="W286"/>
  <c r="W285"/>
  <c r="Z285" s="1"/>
  <c r="W284"/>
  <c r="AG291"/>
  <c r="U285"/>
  <c r="U289"/>
  <c r="S290"/>
  <c r="S289"/>
  <c r="S288"/>
  <c r="U288" s="1"/>
  <c r="S287"/>
  <c r="U287" s="1"/>
  <c r="S286"/>
  <c r="S285"/>
  <c r="S284"/>
  <c r="U284" s="1"/>
  <c r="T290"/>
  <c r="U290" s="1"/>
  <c r="T289"/>
  <c r="T288"/>
  <c r="T287"/>
  <c r="T286"/>
  <c r="U286" s="1"/>
  <c r="T285"/>
  <c r="T284"/>
  <c r="U283"/>
  <c r="T283"/>
  <c r="T291" s="1"/>
  <c r="S283"/>
  <c r="S291" s="1"/>
  <c r="R285"/>
  <c r="R289"/>
  <c r="P290"/>
  <c r="P289"/>
  <c r="P288"/>
  <c r="R288" s="1"/>
  <c r="P287"/>
  <c r="R287" s="1"/>
  <c r="P286"/>
  <c r="P285"/>
  <c r="P284"/>
  <c r="R284" s="1"/>
  <c r="Q290"/>
  <c r="R290" s="1"/>
  <c r="Q289"/>
  <c r="Q288"/>
  <c r="Q287"/>
  <c r="Q291" s="1"/>
  <c r="Q286"/>
  <c r="R286" s="1"/>
  <c r="Q285"/>
  <c r="Q284"/>
  <c r="R283"/>
  <c r="R291" s="1"/>
  <c r="Q283"/>
  <c r="P283"/>
  <c r="P291" s="1"/>
  <c r="O285"/>
  <c r="O289"/>
  <c r="M290"/>
  <c r="M289"/>
  <c r="M288"/>
  <c r="O288" s="1"/>
  <c r="M287"/>
  <c r="O287" s="1"/>
  <c r="M286"/>
  <c r="M285"/>
  <c r="M284"/>
  <c r="O284" s="1"/>
  <c r="N290"/>
  <c r="O290" s="1"/>
  <c r="N289"/>
  <c r="N288"/>
  <c r="N287"/>
  <c r="N286"/>
  <c r="O286" s="1"/>
  <c r="N285"/>
  <c r="N284"/>
  <c r="O283"/>
  <c r="O291" s="1"/>
  <c r="N283"/>
  <c r="N291" s="1"/>
  <c r="M283"/>
  <c r="L285"/>
  <c r="L289"/>
  <c r="J290"/>
  <c r="J289"/>
  <c r="J288"/>
  <c r="Y288" s="1"/>
  <c r="AA288" s="1"/>
  <c r="J287"/>
  <c r="L287" s="1"/>
  <c r="J286"/>
  <c r="Y286" s="1"/>
  <c r="J285"/>
  <c r="J284"/>
  <c r="L284" s="1"/>
  <c r="K290"/>
  <c r="Z290" s="1"/>
  <c r="K289"/>
  <c r="K288"/>
  <c r="Z288" s="1"/>
  <c r="K287"/>
  <c r="Z287" s="1"/>
  <c r="K286"/>
  <c r="Z286" s="1"/>
  <c r="K285"/>
  <c r="K284"/>
  <c r="Z284" s="1"/>
  <c r="L283"/>
  <c r="K283"/>
  <c r="K291" s="1"/>
  <c r="J283"/>
  <c r="Y283" s="1"/>
  <c r="AB279"/>
  <c r="AJ279"/>
  <c r="AI279"/>
  <c r="AJ278"/>
  <c r="AI278"/>
  <c r="AJ277"/>
  <c r="AK277" s="1"/>
  <c r="AI277"/>
  <c r="AJ276"/>
  <c r="AI276"/>
  <c r="AK275"/>
  <c r="AK278"/>
  <c r="AJ275"/>
  <c r="AI275"/>
  <c r="AK274"/>
  <c r="AJ274"/>
  <c r="AI274"/>
  <c r="AC279"/>
  <c r="AC278"/>
  <c r="AD278" s="1"/>
  <c r="AB278"/>
  <c r="AC277"/>
  <c r="AD277" s="1"/>
  <c r="AB277"/>
  <c r="AC276"/>
  <c r="AD276" s="1"/>
  <c r="AB276"/>
  <c r="AC275"/>
  <c r="AB275"/>
  <c r="AD275"/>
  <c r="AD279"/>
  <c r="AC274"/>
  <c r="AB274"/>
  <c r="AD274" s="1"/>
  <c r="Q67" i="3" l="1"/>
  <c r="E20" i="18" s="1"/>
  <c r="H67" i="3"/>
  <c r="L83" s="1"/>
  <c r="R67"/>
  <c r="Y327" i="2"/>
  <c r="Y328" s="1"/>
  <c r="AA326"/>
  <c r="AA327" s="1"/>
  <c r="AA328" s="1"/>
  <c r="AD327"/>
  <c r="AL325"/>
  <c r="Q66" i="3"/>
  <c r="AK327" i="2"/>
  <c r="AK328" s="1"/>
  <c r="P66" i="3"/>
  <c r="R66" s="1"/>
  <c r="Z328" i="2"/>
  <c r="H66" i="3"/>
  <c r="V327" i="2"/>
  <c r="V328" s="1"/>
  <c r="W327"/>
  <c r="W328" s="1"/>
  <c r="AL319"/>
  <c r="AL321"/>
  <c r="AD321"/>
  <c r="R65" i="3"/>
  <c r="O65"/>
  <c r="I65"/>
  <c r="T321" i="2"/>
  <c r="U321"/>
  <c r="R320"/>
  <c r="R321" s="1"/>
  <c r="AL313"/>
  <c r="AL312"/>
  <c r="AC316"/>
  <c r="K64" i="3" s="1"/>
  <c r="L64" s="1"/>
  <c r="AL315" i="2"/>
  <c r="AL316" s="1"/>
  <c r="AL314"/>
  <c r="AL310"/>
  <c r="AD316"/>
  <c r="AL308"/>
  <c r="AJ316"/>
  <c r="Q64" i="3" s="1"/>
  <c r="R64" s="1"/>
  <c r="AK316" i="2"/>
  <c r="AL309"/>
  <c r="AF316"/>
  <c r="N64" i="3" s="1"/>
  <c r="I64"/>
  <c r="W316" i="2"/>
  <c r="V316"/>
  <c r="U316"/>
  <c r="S316"/>
  <c r="P316"/>
  <c r="Q316"/>
  <c r="N316"/>
  <c r="AC305"/>
  <c r="AD305"/>
  <c r="AK305"/>
  <c r="AH305"/>
  <c r="AA304"/>
  <c r="AL304" s="1"/>
  <c r="AA286"/>
  <c r="AA303"/>
  <c r="AL303" s="1"/>
  <c r="U291"/>
  <c r="Z305"/>
  <c r="AA302"/>
  <c r="AL302" s="1"/>
  <c r="AA287"/>
  <c r="AA301"/>
  <c r="AL301" s="1"/>
  <c r="U305"/>
  <c r="M291"/>
  <c r="X285"/>
  <c r="Y300"/>
  <c r="L286"/>
  <c r="Y284"/>
  <c r="AA284" s="1"/>
  <c r="L301"/>
  <c r="R303"/>
  <c r="R305" s="1"/>
  <c r="L288"/>
  <c r="X289"/>
  <c r="L290"/>
  <c r="L291" s="1"/>
  <c r="AD288"/>
  <c r="J291"/>
  <c r="AH284"/>
  <c r="AJ291"/>
  <c r="AK289"/>
  <c r="V305"/>
  <c r="AF305"/>
  <c r="X305"/>
  <c r="W305"/>
  <c r="P305"/>
  <c r="Q305"/>
  <c r="AB291"/>
  <c r="AD286"/>
  <c r="AC291"/>
  <c r="AL284"/>
  <c r="AL288"/>
  <c r="AK287"/>
  <c r="AI291"/>
  <c r="AL289"/>
  <c r="AL285"/>
  <c r="AF291"/>
  <c r="AE291"/>
  <c r="AH291"/>
  <c r="AL286"/>
  <c r="Y290"/>
  <c r="AA290" s="1"/>
  <c r="AL290" s="1"/>
  <c r="Z283"/>
  <c r="AA283" s="1"/>
  <c r="AL283" s="1"/>
  <c r="X291"/>
  <c r="V291"/>
  <c r="W291"/>
  <c r="AK279"/>
  <c r="AK276"/>
  <c r="O64" i="3" l="1"/>
  <c r="P67"/>
  <c r="E19" i="18" s="1"/>
  <c r="AL326" i="2"/>
  <c r="AL327" s="1"/>
  <c r="AL328" s="1"/>
  <c r="G66" i="3"/>
  <c r="AA300" i="2"/>
  <c r="Y305"/>
  <c r="AL287"/>
  <c r="AD291"/>
  <c r="AK291"/>
  <c r="Y291"/>
  <c r="Z291"/>
  <c r="AA291"/>
  <c r="I66" i="3" l="1"/>
  <c r="G67"/>
  <c r="K83" s="1"/>
  <c r="AA305" i="2"/>
  <c r="AL300"/>
  <c r="AH276" l="1"/>
  <c r="AH279"/>
  <c r="AF279"/>
  <c r="AF278"/>
  <c r="AF277"/>
  <c r="AF276"/>
  <c r="AF275"/>
  <c r="AF274"/>
  <c r="AE279"/>
  <c r="AE278"/>
  <c r="AH278" s="1"/>
  <c r="AE277"/>
  <c r="AH277" s="1"/>
  <c r="AE276"/>
  <c r="AE275"/>
  <c r="AH275" s="1"/>
  <c r="AE274"/>
  <c r="AH274" s="1"/>
  <c r="V279"/>
  <c r="V278"/>
  <c r="V277"/>
  <c r="X277" s="1"/>
  <c r="V276"/>
  <c r="X276" s="1"/>
  <c r="V275"/>
  <c r="W279"/>
  <c r="W278"/>
  <c r="W277"/>
  <c r="W276"/>
  <c r="W275"/>
  <c r="S278"/>
  <c r="U278" s="1"/>
  <c r="S277"/>
  <c r="U277" s="1"/>
  <c r="S276"/>
  <c r="S275"/>
  <c r="T279"/>
  <c r="T278"/>
  <c r="T277"/>
  <c r="T276"/>
  <c r="U276" s="1"/>
  <c r="T275"/>
  <c r="P279"/>
  <c r="P278"/>
  <c r="P277"/>
  <c r="R277" s="1"/>
  <c r="P276"/>
  <c r="R276" s="1"/>
  <c r="P275"/>
  <c r="Q279"/>
  <c r="Q278"/>
  <c r="Q277"/>
  <c r="Q276"/>
  <c r="Q275"/>
  <c r="M279"/>
  <c r="M278"/>
  <c r="O278" s="1"/>
  <c r="M277"/>
  <c r="M276"/>
  <c r="O276" s="1"/>
  <c r="M275"/>
  <c r="N279"/>
  <c r="N278"/>
  <c r="N277"/>
  <c r="O277" s="1"/>
  <c r="N276"/>
  <c r="N275"/>
  <c r="S279"/>
  <c r="W274"/>
  <c r="V274"/>
  <c r="T274"/>
  <c r="U274" s="1"/>
  <c r="S274"/>
  <c r="Q274"/>
  <c r="P274"/>
  <c r="N274"/>
  <c r="M274"/>
  <c r="O274" s="1"/>
  <c r="J279"/>
  <c r="Y279" s="1"/>
  <c r="J278"/>
  <c r="J277"/>
  <c r="J276"/>
  <c r="Y276" s="1"/>
  <c r="J275"/>
  <c r="Y275" s="1"/>
  <c r="K279"/>
  <c r="K278"/>
  <c r="K277"/>
  <c r="Z277" s="1"/>
  <c r="K276"/>
  <c r="Z276" s="1"/>
  <c r="K275"/>
  <c r="K274"/>
  <c r="J274"/>
  <c r="L274" s="1"/>
  <c r="AJ270"/>
  <c r="AI270"/>
  <c r="AJ269"/>
  <c r="AI269"/>
  <c r="AK269" s="1"/>
  <c r="AJ268"/>
  <c r="AI268"/>
  <c r="AJ267"/>
  <c r="AI267"/>
  <c r="AI265"/>
  <c r="AJ266"/>
  <c r="AI266"/>
  <c r="AJ265"/>
  <c r="AK265" s="1"/>
  <c r="AJ264"/>
  <c r="AI264"/>
  <c r="AK264" s="1"/>
  <c r="AK263"/>
  <c r="AJ263"/>
  <c r="AI263"/>
  <c r="AC270"/>
  <c r="AD270" s="1"/>
  <c r="AC269"/>
  <c r="AB269"/>
  <c r="AC268"/>
  <c r="AB268"/>
  <c r="AC267"/>
  <c r="AB267"/>
  <c r="AC266"/>
  <c r="AB266"/>
  <c r="AC265"/>
  <c r="AB265"/>
  <c r="AD268"/>
  <c r="AC264"/>
  <c r="AD264" s="1"/>
  <c r="AB264"/>
  <c r="AC263"/>
  <c r="AB263"/>
  <c r="AD263" s="1"/>
  <c r="AH266"/>
  <c r="AH270"/>
  <c r="AF270"/>
  <c r="AF269"/>
  <c r="AF268"/>
  <c r="AF267"/>
  <c r="AF266"/>
  <c r="AF265"/>
  <c r="AF264"/>
  <c r="AF263"/>
  <c r="AE270"/>
  <c r="AE269"/>
  <c r="AH269" s="1"/>
  <c r="AE268"/>
  <c r="AH268" s="1"/>
  <c r="AE267"/>
  <c r="AH267" s="1"/>
  <c r="AE266"/>
  <c r="AE265"/>
  <c r="AH265" s="1"/>
  <c r="AE264"/>
  <c r="AH264" s="1"/>
  <c r="AE263"/>
  <c r="AH263" s="1"/>
  <c r="V270"/>
  <c r="X270" s="1"/>
  <c r="V269"/>
  <c r="X269" s="1"/>
  <c r="V268"/>
  <c r="V267"/>
  <c r="X267" s="1"/>
  <c r="V266"/>
  <c r="X266" s="1"/>
  <c r="V265"/>
  <c r="X265" s="1"/>
  <c r="V264"/>
  <c r="W270"/>
  <c r="W269"/>
  <c r="W268"/>
  <c r="W267"/>
  <c r="W266"/>
  <c r="W265"/>
  <c r="W264"/>
  <c r="W263"/>
  <c r="V263"/>
  <c r="X263" s="1"/>
  <c r="S270"/>
  <c r="S269"/>
  <c r="S268"/>
  <c r="S267"/>
  <c r="U267" s="1"/>
  <c r="S266"/>
  <c r="U266" s="1"/>
  <c r="S265"/>
  <c r="S264"/>
  <c r="T270"/>
  <c r="T269"/>
  <c r="T268"/>
  <c r="U268" s="1"/>
  <c r="T267"/>
  <c r="T266"/>
  <c r="T265"/>
  <c r="T264"/>
  <c r="U264" s="1"/>
  <c r="T263"/>
  <c r="S263"/>
  <c r="S271" s="1"/>
  <c r="P270"/>
  <c r="P269"/>
  <c r="P268"/>
  <c r="P267"/>
  <c r="R267" s="1"/>
  <c r="P266"/>
  <c r="P265"/>
  <c r="P264"/>
  <c r="Q270"/>
  <c r="R270" s="1"/>
  <c r="Q269"/>
  <c r="Q268"/>
  <c r="Q267"/>
  <c r="Q266"/>
  <c r="Q265"/>
  <c r="Q264"/>
  <c r="Q263"/>
  <c r="P263"/>
  <c r="R263" s="1"/>
  <c r="M270"/>
  <c r="M269"/>
  <c r="M268"/>
  <c r="M267"/>
  <c r="O267" s="1"/>
  <c r="M266"/>
  <c r="M265"/>
  <c r="O265" s="1"/>
  <c r="M264"/>
  <c r="O264" s="1"/>
  <c r="N270"/>
  <c r="N269"/>
  <c r="N268"/>
  <c r="N267"/>
  <c r="N266"/>
  <c r="N265"/>
  <c r="N264"/>
  <c r="N263"/>
  <c r="M263"/>
  <c r="J270"/>
  <c r="L270" s="1"/>
  <c r="J269"/>
  <c r="Y269" s="1"/>
  <c r="J268"/>
  <c r="J267"/>
  <c r="J266"/>
  <c r="J265"/>
  <c r="Y265" s="1"/>
  <c r="J264"/>
  <c r="K270"/>
  <c r="K269"/>
  <c r="K268"/>
  <c r="Z268" s="1"/>
  <c r="K267"/>
  <c r="K266"/>
  <c r="K265"/>
  <c r="K264"/>
  <c r="Z264" s="1"/>
  <c r="K263"/>
  <c r="J263"/>
  <c r="AB249"/>
  <c r="AI244"/>
  <c r="AI243"/>
  <c r="AJ253"/>
  <c r="AI253"/>
  <c r="AI252"/>
  <c r="AJ251"/>
  <c r="AJ250"/>
  <c r="AJ249"/>
  <c r="AI251"/>
  <c r="AI250"/>
  <c r="AI249"/>
  <c r="AJ248"/>
  <c r="AI248"/>
  <c r="AJ247"/>
  <c r="AI247"/>
  <c r="AJ246"/>
  <c r="AI246"/>
  <c r="AJ245"/>
  <c r="AI245"/>
  <c r="AK245" s="1"/>
  <c r="AJ244"/>
  <c r="AK244" s="1"/>
  <c r="AJ243"/>
  <c r="AB242"/>
  <c r="AD242" s="1"/>
  <c r="AJ242"/>
  <c r="AK242" s="1"/>
  <c r="AI242"/>
  <c r="AK252"/>
  <c r="AK241"/>
  <c r="AJ241"/>
  <c r="AI241"/>
  <c r="AC253"/>
  <c r="AB253"/>
  <c r="AD253" s="1"/>
  <c r="AC252"/>
  <c r="AD252" s="1"/>
  <c r="AB252"/>
  <c r="AC251"/>
  <c r="AB251"/>
  <c r="AC250"/>
  <c r="AB250"/>
  <c r="AC249"/>
  <c r="AC248"/>
  <c r="AB248"/>
  <c r="AC247"/>
  <c r="AB247"/>
  <c r="AC246"/>
  <c r="AB246"/>
  <c r="AC245"/>
  <c r="AB245"/>
  <c r="AD245" s="1"/>
  <c r="AC244"/>
  <c r="AB244"/>
  <c r="AC243"/>
  <c r="AB243"/>
  <c r="AD243" s="1"/>
  <c r="AC242"/>
  <c r="AC241"/>
  <c r="AB241"/>
  <c r="AD241" s="1"/>
  <c r="AH244"/>
  <c r="AH248"/>
  <c r="AH252"/>
  <c r="AF254"/>
  <c r="AF253"/>
  <c r="AF252"/>
  <c r="AF251"/>
  <c r="AF250"/>
  <c r="AF249"/>
  <c r="AF248"/>
  <c r="AF247"/>
  <c r="AF246"/>
  <c r="AF245"/>
  <c r="AF244"/>
  <c r="AF243"/>
  <c r="AF242"/>
  <c r="AF241"/>
  <c r="AE253"/>
  <c r="AH253" s="1"/>
  <c r="AE252"/>
  <c r="AE251"/>
  <c r="AH251" s="1"/>
  <c r="AE250"/>
  <c r="AH250" s="1"/>
  <c r="AE249"/>
  <c r="AH249" s="1"/>
  <c r="AE248"/>
  <c r="AE247"/>
  <c r="AH247" s="1"/>
  <c r="AE246"/>
  <c r="AH246" s="1"/>
  <c r="AE245"/>
  <c r="AH245" s="1"/>
  <c r="AE244"/>
  <c r="AE243"/>
  <c r="AH243" s="1"/>
  <c r="AE242"/>
  <c r="AH242" s="1"/>
  <c r="AE241"/>
  <c r="AH241" s="1"/>
  <c r="P248"/>
  <c r="P253"/>
  <c r="P252"/>
  <c r="P251"/>
  <c r="P250"/>
  <c r="P249"/>
  <c r="X242"/>
  <c r="X246"/>
  <c r="V253"/>
  <c r="V252"/>
  <c r="V251"/>
  <c r="V250"/>
  <c r="X250" s="1"/>
  <c r="V249"/>
  <c r="V248"/>
  <c r="V247"/>
  <c r="V246"/>
  <c r="V245"/>
  <c r="V244"/>
  <c r="V243"/>
  <c r="V242"/>
  <c r="W253"/>
  <c r="W252"/>
  <c r="W251"/>
  <c r="W250"/>
  <c r="W249"/>
  <c r="W248"/>
  <c r="W247"/>
  <c r="W246"/>
  <c r="W245"/>
  <c r="W244"/>
  <c r="W243"/>
  <c r="W242"/>
  <c r="W241"/>
  <c r="V241"/>
  <c r="X241" s="1"/>
  <c r="AG255"/>
  <c r="U245"/>
  <c r="U249"/>
  <c r="U253"/>
  <c r="S253"/>
  <c r="S252"/>
  <c r="S251"/>
  <c r="S250"/>
  <c r="S249"/>
  <c r="S248"/>
  <c r="S247"/>
  <c r="S246"/>
  <c r="S245"/>
  <c r="S244"/>
  <c r="S243"/>
  <c r="S242"/>
  <c r="T253"/>
  <c r="T252"/>
  <c r="T251"/>
  <c r="U251" s="1"/>
  <c r="T250"/>
  <c r="T249"/>
  <c r="T248"/>
  <c r="T247"/>
  <c r="T246"/>
  <c r="T245"/>
  <c r="T244"/>
  <c r="T243"/>
  <c r="T242"/>
  <c r="T241"/>
  <c r="S241"/>
  <c r="P247"/>
  <c r="P246"/>
  <c r="P245"/>
  <c r="R245" s="1"/>
  <c r="P244"/>
  <c r="P243"/>
  <c r="P242"/>
  <c r="Q253"/>
  <c r="Q252"/>
  <c r="Q251"/>
  <c r="Q250"/>
  <c r="Q249"/>
  <c r="R249" s="1"/>
  <c r="Q248"/>
  <c r="Q247"/>
  <c r="Q246"/>
  <c r="Q245"/>
  <c r="Q244"/>
  <c r="Q243"/>
  <c r="Q242"/>
  <c r="Q241"/>
  <c r="Q254" s="1"/>
  <c r="P241"/>
  <c r="O248"/>
  <c r="O252"/>
  <c r="M253"/>
  <c r="M252"/>
  <c r="M251"/>
  <c r="M250"/>
  <c r="M249"/>
  <c r="M248"/>
  <c r="M247"/>
  <c r="M246"/>
  <c r="M245"/>
  <c r="M244"/>
  <c r="O244" s="1"/>
  <c r="M243"/>
  <c r="M242"/>
  <c r="N253"/>
  <c r="N252"/>
  <c r="N251"/>
  <c r="N250"/>
  <c r="N249"/>
  <c r="N248"/>
  <c r="N247"/>
  <c r="N246"/>
  <c r="N245"/>
  <c r="N244"/>
  <c r="N243"/>
  <c r="N242"/>
  <c r="N241"/>
  <c r="M241"/>
  <c r="L245"/>
  <c r="L247"/>
  <c r="L253"/>
  <c r="J253"/>
  <c r="J252"/>
  <c r="J251"/>
  <c r="L251" s="1"/>
  <c r="J250"/>
  <c r="J249"/>
  <c r="L249" s="1"/>
  <c r="J248"/>
  <c r="J247"/>
  <c r="J246"/>
  <c r="J245"/>
  <c r="J244"/>
  <c r="J243"/>
  <c r="J242"/>
  <c r="K253"/>
  <c r="K252"/>
  <c r="K251"/>
  <c r="K250"/>
  <c r="Z250" s="1"/>
  <c r="K249"/>
  <c r="K248"/>
  <c r="K247"/>
  <c r="K246"/>
  <c r="Z246" s="1"/>
  <c r="K245"/>
  <c r="K244"/>
  <c r="K243"/>
  <c r="K242"/>
  <c r="Z242" s="1"/>
  <c r="L241"/>
  <c r="K241"/>
  <c r="J241"/>
  <c r="AB231"/>
  <c r="AD231" s="1"/>
  <c r="AJ237"/>
  <c r="AI237"/>
  <c r="AJ236"/>
  <c r="AI236"/>
  <c r="AK236" s="1"/>
  <c r="AI235"/>
  <c r="AK235" s="1"/>
  <c r="AJ234"/>
  <c r="AI234"/>
  <c r="AJ233"/>
  <c r="AI233"/>
  <c r="AJ232"/>
  <c r="AI232"/>
  <c r="AK232" s="1"/>
  <c r="AJ231"/>
  <c r="AI231"/>
  <c r="AK231" s="1"/>
  <c r="AC237"/>
  <c r="AD237" s="1"/>
  <c r="AB237"/>
  <c r="AB236"/>
  <c r="AC236"/>
  <c r="AD236" s="1"/>
  <c r="AC235"/>
  <c r="AD235" s="1"/>
  <c r="AB235"/>
  <c r="AC234"/>
  <c r="AB234"/>
  <c r="AC233"/>
  <c r="AB233"/>
  <c r="AC232"/>
  <c r="AB232"/>
  <c r="AD233"/>
  <c r="AC231"/>
  <c r="AH233"/>
  <c r="AH237"/>
  <c r="AF237"/>
  <c r="AF236"/>
  <c r="AH236" s="1"/>
  <c r="AF235"/>
  <c r="AF234"/>
  <c r="AF233"/>
  <c r="AF232"/>
  <c r="AH232" s="1"/>
  <c r="AF231"/>
  <c r="AE237"/>
  <c r="AE236"/>
  <c r="AE235"/>
  <c r="AH235" s="1"/>
  <c r="AE234"/>
  <c r="AH234" s="1"/>
  <c r="AE233"/>
  <c r="AE232"/>
  <c r="AE231"/>
  <c r="AH231" s="1"/>
  <c r="V237"/>
  <c r="X237" s="1"/>
  <c r="V236"/>
  <c r="V235"/>
  <c r="V234"/>
  <c r="X234" s="1"/>
  <c r="V233"/>
  <c r="X233" s="1"/>
  <c r="V232"/>
  <c r="W237"/>
  <c r="W236"/>
  <c r="X236" s="1"/>
  <c r="W235"/>
  <c r="W234"/>
  <c r="W233"/>
  <c r="W232"/>
  <c r="X232" s="1"/>
  <c r="S237"/>
  <c r="S236"/>
  <c r="S235"/>
  <c r="U235" s="1"/>
  <c r="S234"/>
  <c r="U234" s="1"/>
  <c r="S233"/>
  <c r="S232"/>
  <c r="T237"/>
  <c r="U237" s="1"/>
  <c r="T236"/>
  <c r="T235"/>
  <c r="T234"/>
  <c r="T233"/>
  <c r="U233" s="1"/>
  <c r="T232"/>
  <c r="W231"/>
  <c r="V231"/>
  <c r="X231" s="1"/>
  <c r="T231"/>
  <c r="S231"/>
  <c r="P237"/>
  <c r="P236"/>
  <c r="P235"/>
  <c r="R235" s="1"/>
  <c r="P234"/>
  <c r="P233"/>
  <c r="P232"/>
  <c r="Q237"/>
  <c r="Q236"/>
  <c r="R236" s="1"/>
  <c r="Q235"/>
  <c r="Q234"/>
  <c r="Q233"/>
  <c r="Q232"/>
  <c r="Q231"/>
  <c r="P231"/>
  <c r="R231" s="1"/>
  <c r="M237"/>
  <c r="M236"/>
  <c r="M235"/>
  <c r="O235" s="1"/>
  <c r="M234"/>
  <c r="O234" s="1"/>
  <c r="M233"/>
  <c r="M232"/>
  <c r="N237"/>
  <c r="N236"/>
  <c r="N235"/>
  <c r="N234"/>
  <c r="N233"/>
  <c r="N232"/>
  <c r="N231"/>
  <c r="M231"/>
  <c r="J237"/>
  <c r="Y237" s="1"/>
  <c r="J236"/>
  <c r="Y236" s="1"/>
  <c r="J235"/>
  <c r="J234"/>
  <c r="Y234" s="1"/>
  <c r="J233"/>
  <c r="L233" s="1"/>
  <c r="J232"/>
  <c r="K237"/>
  <c r="K236"/>
  <c r="Z236" s="1"/>
  <c r="K235"/>
  <c r="L235" s="1"/>
  <c r="K234"/>
  <c r="K233"/>
  <c r="K232"/>
  <c r="Z232" s="1"/>
  <c r="L231"/>
  <c r="K231"/>
  <c r="J231"/>
  <c r="Q42" i="3"/>
  <c r="P42"/>
  <c r="AH254" i="2" l="1"/>
  <c r="AH271"/>
  <c r="L246"/>
  <c r="O246"/>
  <c r="U247"/>
  <c r="X248"/>
  <c r="Y252"/>
  <c r="R42" i="3"/>
  <c r="U231" i="2"/>
  <c r="AK233"/>
  <c r="Z245"/>
  <c r="Z253"/>
  <c r="O245"/>
  <c r="O253"/>
  <c r="U242"/>
  <c r="U250"/>
  <c r="X247"/>
  <c r="AD244"/>
  <c r="L264"/>
  <c r="Y268"/>
  <c r="AA268" s="1"/>
  <c r="AL268" s="1"/>
  <c r="U269"/>
  <c r="R274"/>
  <c r="X274"/>
  <c r="Z231"/>
  <c r="Z234"/>
  <c r="Y232"/>
  <c r="AA232" s="1"/>
  <c r="AA236"/>
  <c r="AL236" s="1"/>
  <c r="O233"/>
  <c r="O237"/>
  <c r="R232"/>
  <c r="W238"/>
  <c r="AB238"/>
  <c r="AK234"/>
  <c r="Z241"/>
  <c r="Z244"/>
  <c r="Z248"/>
  <c r="Z252"/>
  <c r="L244"/>
  <c r="L248"/>
  <c r="L252"/>
  <c r="O241"/>
  <c r="R243"/>
  <c r="R247"/>
  <c r="U241"/>
  <c r="Y263"/>
  <c r="Z266"/>
  <c r="Z270"/>
  <c r="Y267"/>
  <c r="AA267" s="1"/>
  <c r="L267"/>
  <c r="O266"/>
  <c r="O270"/>
  <c r="R264"/>
  <c r="R271" s="1"/>
  <c r="R268"/>
  <c r="R265"/>
  <c r="R269"/>
  <c r="U263"/>
  <c r="U271" s="1"/>
  <c r="Z267"/>
  <c r="X264"/>
  <c r="X268"/>
  <c r="X271" s="1"/>
  <c r="AK268"/>
  <c r="Z275"/>
  <c r="AA275" s="1"/>
  <c r="AL275" s="1"/>
  <c r="Z279"/>
  <c r="L278"/>
  <c r="O275"/>
  <c r="O279"/>
  <c r="R275"/>
  <c r="R279"/>
  <c r="X275"/>
  <c r="X279"/>
  <c r="L234"/>
  <c r="L242"/>
  <c r="L250"/>
  <c r="O242"/>
  <c r="O250"/>
  <c r="U243"/>
  <c r="U254" s="1"/>
  <c r="X244"/>
  <c r="X252"/>
  <c r="AA237"/>
  <c r="R234"/>
  <c r="Z249"/>
  <c r="Y245"/>
  <c r="O249"/>
  <c r="R241"/>
  <c r="Y244"/>
  <c r="U246"/>
  <c r="X243"/>
  <c r="X251"/>
  <c r="Z263"/>
  <c r="O263"/>
  <c r="R266"/>
  <c r="U265"/>
  <c r="AA279"/>
  <c r="AL279" s="1"/>
  <c r="AL276"/>
  <c r="Y231"/>
  <c r="AA231" s="1"/>
  <c r="AL231" s="1"/>
  <c r="Z233"/>
  <c r="Z237"/>
  <c r="Y235"/>
  <c r="O232"/>
  <c r="O236"/>
  <c r="R233"/>
  <c r="T238"/>
  <c r="U232"/>
  <c r="U236"/>
  <c r="X235"/>
  <c r="X238" s="1"/>
  <c r="Y241"/>
  <c r="AA241" s="1"/>
  <c r="AL241" s="1"/>
  <c r="Y243"/>
  <c r="Y247"/>
  <c r="L243"/>
  <c r="Z243"/>
  <c r="Z254" s="1"/>
  <c r="H49" i="3" s="1"/>
  <c r="Z247" i="2"/>
  <c r="Z251"/>
  <c r="O243"/>
  <c r="O247"/>
  <c r="O251"/>
  <c r="R242"/>
  <c r="R246"/>
  <c r="U244"/>
  <c r="U248"/>
  <c r="U252"/>
  <c r="X245"/>
  <c r="X249"/>
  <c r="X254" s="1"/>
  <c r="X253"/>
  <c r="Z265"/>
  <c r="Z269"/>
  <c r="Y266"/>
  <c r="AA266" s="1"/>
  <c r="AL266" s="1"/>
  <c r="O268"/>
  <c r="O269"/>
  <c r="T271"/>
  <c r="U270"/>
  <c r="AD266"/>
  <c r="AK267"/>
  <c r="Z274"/>
  <c r="Z278"/>
  <c r="Y277"/>
  <c r="AA277" s="1"/>
  <c r="AL277" s="1"/>
  <c r="U279"/>
  <c r="R278"/>
  <c r="U275"/>
  <c r="X278"/>
  <c r="AA265"/>
  <c r="AA269"/>
  <c r="AA276"/>
  <c r="AA245"/>
  <c r="AL245" s="1"/>
  <c r="AA234"/>
  <c r="AA263"/>
  <c r="Y249"/>
  <c r="AA249" s="1"/>
  <c r="Y270"/>
  <c r="AA270" s="1"/>
  <c r="V238"/>
  <c r="Y246"/>
  <c r="AA246" s="1"/>
  <c r="Y242"/>
  <c r="AA242" s="1"/>
  <c r="Y248"/>
  <c r="AA248" s="1"/>
  <c r="L263"/>
  <c r="L269"/>
  <c r="L265"/>
  <c r="Y264"/>
  <c r="AA264" s="1"/>
  <c r="L275"/>
  <c r="Y274"/>
  <c r="Y233"/>
  <c r="AA233" s="1"/>
  <c r="AL233" s="1"/>
  <c r="AA252"/>
  <c r="AL252" s="1"/>
  <c r="L236"/>
  <c r="L232"/>
  <c r="L237"/>
  <c r="R253"/>
  <c r="L266"/>
  <c r="L276"/>
  <c r="L279"/>
  <c r="Z235"/>
  <c r="R244"/>
  <c r="O231"/>
  <c r="R237"/>
  <c r="R251"/>
  <c r="L268"/>
  <c r="L277"/>
  <c r="Y278"/>
  <c r="AA278" s="1"/>
  <c r="AL278" s="1"/>
  <c r="AK270"/>
  <c r="AK271" s="1"/>
  <c r="AK266"/>
  <c r="AJ271"/>
  <c r="Q55" i="3" s="1"/>
  <c r="AL264" i="2"/>
  <c r="AI271"/>
  <c r="P55" i="3" s="1"/>
  <c r="AD269" i="2"/>
  <c r="AD267"/>
  <c r="AL267"/>
  <c r="AC271"/>
  <c r="AD265"/>
  <c r="AB271"/>
  <c r="AL269"/>
  <c r="AF271"/>
  <c r="AE271"/>
  <c r="V271"/>
  <c r="W271"/>
  <c r="P271"/>
  <c r="Q271"/>
  <c r="AK253"/>
  <c r="AK251"/>
  <c r="AK250"/>
  <c r="AK249"/>
  <c r="AK248"/>
  <c r="AK247"/>
  <c r="AK246"/>
  <c r="AI254"/>
  <c r="AK243"/>
  <c r="AJ254"/>
  <c r="AD251"/>
  <c r="AD250"/>
  <c r="AD249"/>
  <c r="AL249" s="1"/>
  <c r="AD248"/>
  <c r="AD247"/>
  <c r="AD246"/>
  <c r="AL246" s="1"/>
  <c r="AL242"/>
  <c r="AB254"/>
  <c r="AC254"/>
  <c r="AE254"/>
  <c r="R248"/>
  <c r="Y253"/>
  <c r="R252"/>
  <c r="Y251"/>
  <c r="AA251" s="1"/>
  <c r="P254"/>
  <c r="R250"/>
  <c r="Y250"/>
  <c r="AA250" s="1"/>
  <c r="V254"/>
  <c r="W254"/>
  <c r="S254"/>
  <c r="T254"/>
  <c r="AK237"/>
  <c r="AK238" s="1"/>
  <c r="AJ238"/>
  <c r="Q48" i="3" s="1"/>
  <c r="AI238" i="2"/>
  <c r="P48" i="3" s="1"/>
  <c r="AD234" i="2"/>
  <c r="AD232"/>
  <c r="AL232" s="1"/>
  <c r="S238"/>
  <c r="P238"/>
  <c r="R238"/>
  <c r="Q238"/>
  <c r="Q255" s="1"/>
  <c r="X255" l="1"/>
  <c r="R48" i="3"/>
  <c r="AI255" i="2"/>
  <c r="P49" i="3"/>
  <c r="P50" s="1"/>
  <c r="E15" i="18" s="1"/>
  <c r="AA243" i="2"/>
  <c r="U238"/>
  <c r="U255" s="1"/>
  <c r="S255"/>
  <c r="W255"/>
  <c r="P255"/>
  <c r="AB255"/>
  <c r="AL248"/>
  <c r="AL270"/>
  <c r="AA274"/>
  <c r="AL274" s="1"/>
  <c r="Z271"/>
  <c r="H55" i="3" s="1"/>
  <c r="AA247" i="2"/>
  <c r="AJ255"/>
  <c r="Q49" i="3"/>
  <c r="Q50" s="1"/>
  <c r="E16" i="18" s="1"/>
  <c r="R55" i="3"/>
  <c r="AL243" i="2"/>
  <c r="T255"/>
  <c r="AA235"/>
  <c r="AL235" s="1"/>
  <c r="AL234"/>
  <c r="AA253"/>
  <c r="AL253" s="1"/>
  <c r="AL247"/>
  <c r="Y271"/>
  <c r="G55" i="3" s="1"/>
  <c r="AA244" i="2"/>
  <c r="AL244" s="1"/>
  <c r="AA271"/>
  <c r="AL263"/>
  <c r="Z238"/>
  <c r="AA238"/>
  <c r="Y254"/>
  <c r="Y238"/>
  <c r="G48" i="3" s="1"/>
  <c r="V255" i="2"/>
  <c r="AD271"/>
  <c r="AL265"/>
  <c r="AL251"/>
  <c r="AK254"/>
  <c r="AK255" s="1"/>
  <c r="AL250"/>
  <c r="AD254"/>
  <c r="R254"/>
  <c r="R255" s="1"/>
  <c r="AL237"/>
  <c r="AL238" s="1"/>
  <c r="R49" i="3" l="1"/>
  <c r="R50" s="1"/>
  <c r="AA254" i="2"/>
  <c r="AA255" s="1"/>
  <c r="H48" i="3"/>
  <c r="Z255" i="2"/>
  <c r="Y255"/>
  <c r="G49" i="3"/>
  <c r="AL254" i="2"/>
  <c r="AL255" s="1"/>
  <c r="AC221" l="1"/>
  <c r="AD221" s="1"/>
  <c r="AB221"/>
  <c r="AC220"/>
  <c r="AB220"/>
  <c r="AC219"/>
  <c r="AB219"/>
  <c r="AB218"/>
  <c r="AC218"/>
  <c r="AD218" s="1"/>
  <c r="AC217"/>
  <c r="AB217"/>
  <c r="AD217" s="1"/>
  <c r="AC216"/>
  <c r="AB216"/>
  <c r="AD216" s="1"/>
  <c r="AC215"/>
  <c r="AD215" s="1"/>
  <c r="AB215"/>
  <c r="AD220"/>
  <c r="AD214"/>
  <c r="AC214"/>
  <c r="AB214"/>
  <c r="AJ221"/>
  <c r="AI221"/>
  <c r="AJ220"/>
  <c r="AI220"/>
  <c r="AJ219"/>
  <c r="AI219"/>
  <c r="AJ218"/>
  <c r="AI218"/>
  <c r="AJ217"/>
  <c r="AI217"/>
  <c r="AJ216"/>
  <c r="AI216"/>
  <c r="AJ215"/>
  <c r="AI215"/>
  <c r="AJ214"/>
  <c r="AI214"/>
  <c r="AK214" s="1"/>
  <c r="AH215"/>
  <c r="AH219"/>
  <c r="AF221"/>
  <c r="AF220"/>
  <c r="AF219"/>
  <c r="AF218"/>
  <c r="AF217"/>
  <c r="AF216"/>
  <c r="AF215"/>
  <c r="AF214"/>
  <c r="AE221"/>
  <c r="AH221" s="1"/>
  <c r="AE220"/>
  <c r="AH220" s="1"/>
  <c r="AE219"/>
  <c r="AE218"/>
  <c r="AH218" s="1"/>
  <c r="AE217"/>
  <c r="AH217" s="1"/>
  <c r="AE216"/>
  <c r="AH216" s="1"/>
  <c r="AE215"/>
  <c r="AE214"/>
  <c r="AH214" s="1"/>
  <c r="V221"/>
  <c r="V220"/>
  <c r="V219"/>
  <c r="V218"/>
  <c r="V217"/>
  <c r="V216"/>
  <c r="V215"/>
  <c r="X220"/>
  <c r="W221"/>
  <c r="W220"/>
  <c r="W219"/>
  <c r="W218"/>
  <c r="X218" s="1"/>
  <c r="W217"/>
  <c r="W216"/>
  <c r="W215"/>
  <c r="S221"/>
  <c r="S220"/>
  <c r="S219"/>
  <c r="S218"/>
  <c r="U218" s="1"/>
  <c r="S217"/>
  <c r="S216"/>
  <c r="S215"/>
  <c r="T221"/>
  <c r="U221" s="1"/>
  <c r="T220"/>
  <c r="T219"/>
  <c r="T218"/>
  <c r="T217"/>
  <c r="T216"/>
  <c r="T215"/>
  <c r="W214"/>
  <c r="V214"/>
  <c r="X214" s="1"/>
  <c r="U214"/>
  <c r="T214"/>
  <c r="S214"/>
  <c r="P221"/>
  <c r="P220"/>
  <c r="P219"/>
  <c r="P218"/>
  <c r="P217"/>
  <c r="R217" s="1"/>
  <c r="P216"/>
  <c r="R216" s="1"/>
  <c r="P215"/>
  <c r="R220"/>
  <c r="Q221"/>
  <c r="Q220"/>
  <c r="Q219"/>
  <c r="Q218"/>
  <c r="Q217"/>
  <c r="Q216"/>
  <c r="Q215"/>
  <c r="R215" s="1"/>
  <c r="R214"/>
  <c r="Q214"/>
  <c r="P214"/>
  <c r="O220"/>
  <c r="M221"/>
  <c r="M220"/>
  <c r="M219"/>
  <c r="O219" s="1"/>
  <c r="M218"/>
  <c r="M217"/>
  <c r="M216"/>
  <c r="M215"/>
  <c r="O215" s="1"/>
  <c r="N221"/>
  <c r="N220"/>
  <c r="N219"/>
  <c r="N218"/>
  <c r="N217"/>
  <c r="N216"/>
  <c r="O216" s="1"/>
  <c r="N215"/>
  <c r="N214"/>
  <c r="M214"/>
  <c r="O214" s="1"/>
  <c r="J221"/>
  <c r="L221" s="1"/>
  <c r="J220"/>
  <c r="Y220" s="1"/>
  <c r="J219"/>
  <c r="J218"/>
  <c r="J217"/>
  <c r="L217" s="1"/>
  <c r="J216"/>
  <c r="Y216" s="1"/>
  <c r="J215"/>
  <c r="K221"/>
  <c r="K220"/>
  <c r="Z220" s="1"/>
  <c r="K219"/>
  <c r="K218"/>
  <c r="K217"/>
  <c r="K216"/>
  <c r="Z216" s="1"/>
  <c r="K215"/>
  <c r="K214"/>
  <c r="J214"/>
  <c r="AB205"/>
  <c r="AI210"/>
  <c r="AK210" s="1"/>
  <c r="AJ210"/>
  <c r="AJ209"/>
  <c r="AI209"/>
  <c r="AI208"/>
  <c r="AK208" s="1"/>
  <c r="AJ208"/>
  <c r="AJ207"/>
  <c r="AI207"/>
  <c r="AJ206"/>
  <c r="AI206"/>
  <c r="AJ205"/>
  <c r="AI205"/>
  <c r="AK207"/>
  <c r="AJ204"/>
  <c r="AI204"/>
  <c r="AK204" s="1"/>
  <c r="AH208"/>
  <c r="AF210"/>
  <c r="AF209"/>
  <c r="AF208"/>
  <c r="AF207"/>
  <c r="AH207" s="1"/>
  <c r="AF206"/>
  <c r="AF205"/>
  <c r="AF204"/>
  <c r="AE210"/>
  <c r="AH210" s="1"/>
  <c r="AE209"/>
  <c r="AH209" s="1"/>
  <c r="AE208"/>
  <c r="AE207"/>
  <c r="AE206"/>
  <c r="AH206" s="1"/>
  <c r="AE205"/>
  <c r="AH205" s="1"/>
  <c r="AE204"/>
  <c r="AH204" s="1"/>
  <c r="AC210"/>
  <c r="AB210"/>
  <c r="AC209"/>
  <c r="AB209"/>
  <c r="AC208"/>
  <c r="AB208"/>
  <c r="AC207"/>
  <c r="AB207"/>
  <c r="AD207" s="1"/>
  <c r="AC206"/>
  <c r="AB206"/>
  <c r="AC205"/>
  <c r="AD205" s="1"/>
  <c r="AD206"/>
  <c r="AD208"/>
  <c r="AD210"/>
  <c r="AD204"/>
  <c r="AC204"/>
  <c r="AB204"/>
  <c r="V210"/>
  <c r="X210" s="1"/>
  <c r="V209"/>
  <c r="V208"/>
  <c r="V207"/>
  <c r="X207" s="1"/>
  <c r="V206"/>
  <c r="X206" s="1"/>
  <c r="V205"/>
  <c r="W210"/>
  <c r="W209"/>
  <c r="X209" s="1"/>
  <c r="W208"/>
  <c r="W207"/>
  <c r="W206"/>
  <c r="W205"/>
  <c r="S210"/>
  <c r="S209"/>
  <c r="S208"/>
  <c r="U208" s="1"/>
  <c r="S207"/>
  <c r="U207" s="1"/>
  <c r="S206"/>
  <c r="S205"/>
  <c r="T210"/>
  <c r="T209"/>
  <c r="T208"/>
  <c r="T207"/>
  <c r="T206"/>
  <c r="T205"/>
  <c r="W204"/>
  <c r="V204"/>
  <c r="X204" s="1"/>
  <c r="T204"/>
  <c r="S204"/>
  <c r="P210"/>
  <c r="P209"/>
  <c r="R209" s="1"/>
  <c r="P208"/>
  <c r="R208" s="1"/>
  <c r="P207"/>
  <c r="P206"/>
  <c r="P205"/>
  <c r="R205" s="1"/>
  <c r="Q210"/>
  <c r="R210" s="1"/>
  <c r="Q209"/>
  <c r="Q208"/>
  <c r="Q207"/>
  <c r="Q206"/>
  <c r="Q205"/>
  <c r="Q204"/>
  <c r="P204"/>
  <c r="P211" s="1"/>
  <c r="M210"/>
  <c r="M209"/>
  <c r="O209" s="1"/>
  <c r="M208"/>
  <c r="O208" s="1"/>
  <c r="M207"/>
  <c r="M206"/>
  <c r="M205"/>
  <c r="O205" s="1"/>
  <c r="N210"/>
  <c r="N209"/>
  <c r="N208"/>
  <c r="N207"/>
  <c r="O207" s="1"/>
  <c r="N206"/>
  <c r="N205"/>
  <c r="N204"/>
  <c r="M204"/>
  <c r="O204" s="1"/>
  <c r="J210"/>
  <c r="J209"/>
  <c r="J208"/>
  <c r="Y208" s="1"/>
  <c r="J207"/>
  <c r="L207" s="1"/>
  <c r="J206"/>
  <c r="J205"/>
  <c r="K210"/>
  <c r="Z210" s="1"/>
  <c r="K209"/>
  <c r="K208"/>
  <c r="K207"/>
  <c r="K206"/>
  <c r="Z206" s="1"/>
  <c r="K205"/>
  <c r="K204"/>
  <c r="J204"/>
  <c r="AJ199"/>
  <c r="AI199"/>
  <c r="AK199" s="1"/>
  <c r="AJ200"/>
  <c r="AI200"/>
  <c r="AJ198"/>
  <c r="AI198"/>
  <c r="AK197"/>
  <c r="AJ197"/>
  <c r="AI197"/>
  <c r="AK196"/>
  <c r="AJ196"/>
  <c r="AI196"/>
  <c r="AF200"/>
  <c r="AF199"/>
  <c r="AH199" s="1"/>
  <c r="AF198"/>
  <c r="AH198" s="1"/>
  <c r="AF197"/>
  <c r="AE200"/>
  <c r="AE199"/>
  <c r="AE198"/>
  <c r="AE197"/>
  <c r="AF196"/>
  <c r="AE196"/>
  <c r="AH196" s="1"/>
  <c r="AC200"/>
  <c r="AB200"/>
  <c r="AC199"/>
  <c r="AB199"/>
  <c r="AC198"/>
  <c r="AB198"/>
  <c r="AD197"/>
  <c r="AC197"/>
  <c r="AB197"/>
  <c r="AC196"/>
  <c r="AB196"/>
  <c r="AD196" s="1"/>
  <c r="V200"/>
  <c r="V199"/>
  <c r="V198"/>
  <c r="V197"/>
  <c r="X197" s="1"/>
  <c r="W200"/>
  <c r="W199"/>
  <c r="W198"/>
  <c r="W197"/>
  <c r="W196"/>
  <c r="V196"/>
  <c r="X196" s="1"/>
  <c r="U197"/>
  <c r="T200"/>
  <c r="T199"/>
  <c r="T198"/>
  <c r="T197"/>
  <c r="S200"/>
  <c r="U200" s="1"/>
  <c r="S199"/>
  <c r="U199" s="1"/>
  <c r="S198"/>
  <c r="U198" s="1"/>
  <c r="S197"/>
  <c r="T196"/>
  <c r="S196"/>
  <c r="U196" s="1"/>
  <c r="P200"/>
  <c r="P199"/>
  <c r="R199" s="1"/>
  <c r="P198"/>
  <c r="R198" s="1"/>
  <c r="P197"/>
  <c r="Q200"/>
  <c r="Q199"/>
  <c r="Q198"/>
  <c r="Q197"/>
  <c r="Q196"/>
  <c r="P196"/>
  <c r="O197"/>
  <c r="M200"/>
  <c r="M199"/>
  <c r="O199" s="1"/>
  <c r="M198"/>
  <c r="O198" s="1"/>
  <c r="M197"/>
  <c r="N200"/>
  <c r="N199"/>
  <c r="N198"/>
  <c r="N197"/>
  <c r="N196"/>
  <c r="M196"/>
  <c r="O196" s="1"/>
  <c r="J200"/>
  <c r="J199"/>
  <c r="J198"/>
  <c r="J197"/>
  <c r="L197" s="1"/>
  <c r="K200"/>
  <c r="Z200" s="1"/>
  <c r="K199"/>
  <c r="K198"/>
  <c r="K197"/>
  <c r="Z197" s="1"/>
  <c r="K196"/>
  <c r="J196"/>
  <c r="V186"/>
  <c r="V185"/>
  <c r="X185" s="1"/>
  <c r="V184"/>
  <c r="V183"/>
  <c r="V182"/>
  <c r="V181"/>
  <c r="S181"/>
  <c r="AC186"/>
  <c r="AC185"/>
  <c r="AC184"/>
  <c r="AD184" s="1"/>
  <c r="AC183"/>
  <c r="AB186"/>
  <c r="AB185"/>
  <c r="AB184"/>
  <c r="AB183"/>
  <c r="AC182"/>
  <c r="AB182"/>
  <c r="AD183"/>
  <c r="AD186"/>
  <c r="AC181"/>
  <c r="AB181"/>
  <c r="AD181" s="1"/>
  <c r="AK185"/>
  <c r="AJ186"/>
  <c r="AJ185"/>
  <c r="AJ184"/>
  <c r="AI186"/>
  <c r="AK186" s="1"/>
  <c r="AI185"/>
  <c r="AI184"/>
  <c r="AK184" s="1"/>
  <c r="AJ183"/>
  <c r="AI183"/>
  <c r="AK183" s="1"/>
  <c r="AJ182"/>
  <c r="AI182"/>
  <c r="AK182" s="1"/>
  <c r="AJ181"/>
  <c r="AI181"/>
  <c r="AK181" s="1"/>
  <c r="AE186"/>
  <c r="AH186" s="1"/>
  <c r="AE185"/>
  <c r="AH185" s="1"/>
  <c r="AE184"/>
  <c r="AE182"/>
  <c r="AH184"/>
  <c r="AE181"/>
  <c r="AH181" s="1"/>
  <c r="AF186"/>
  <c r="AF185"/>
  <c r="AF184"/>
  <c r="AF183"/>
  <c r="AH183" s="1"/>
  <c r="AF182"/>
  <c r="AH182" s="1"/>
  <c r="AF181"/>
  <c r="W186"/>
  <c r="X186" s="1"/>
  <c r="W185"/>
  <c r="W184"/>
  <c r="W183"/>
  <c r="W182"/>
  <c r="X182" s="1"/>
  <c r="S186"/>
  <c r="U186" s="1"/>
  <c r="S185"/>
  <c r="S184"/>
  <c r="S183"/>
  <c r="U183" s="1"/>
  <c r="S182"/>
  <c r="U182" s="1"/>
  <c r="T186"/>
  <c r="T185"/>
  <c r="U185" s="1"/>
  <c r="T184"/>
  <c r="T183"/>
  <c r="T182"/>
  <c r="W181"/>
  <c r="T181"/>
  <c r="U181" s="1"/>
  <c r="P186"/>
  <c r="R186" s="1"/>
  <c r="P185"/>
  <c r="P184"/>
  <c r="P183"/>
  <c r="P182"/>
  <c r="R182" s="1"/>
  <c r="Q186"/>
  <c r="Q185"/>
  <c r="R185" s="1"/>
  <c r="Q184"/>
  <c r="Q183"/>
  <c r="Q182"/>
  <c r="Q181"/>
  <c r="P181"/>
  <c r="R181" s="1"/>
  <c r="M186"/>
  <c r="O186" s="1"/>
  <c r="M185"/>
  <c r="M184"/>
  <c r="M183"/>
  <c r="M182"/>
  <c r="O182" s="1"/>
  <c r="N186"/>
  <c r="N185"/>
  <c r="O185" s="1"/>
  <c r="N184"/>
  <c r="N183"/>
  <c r="N182"/>
  <c r="N181"/>
  <c r="M181"/>
  <c r="O181" s="1"/>
  <c r="J186"/>
  <c r="J185"/>
  <c r="J184"/>
  <c r="Y184" s="1"/>
  <c r="J183"/>
  <c r="J182"/>
  <c r="K186"/>
  <c r="K185"/>
  <c r="Z185" s="1"/>
  <c r="K184"/>
  <c r="K183"/>
  <c r="K182"/>
  <c r="K181"/>
  <c r="Z181" s="1"/>
  <c r="J181"/>
  <c r="L181" l="1"/>
  <c r="O183"/>
  <c r="Z196"/>
  <c r="U201"/>
  <c r="L208"/>
  <c r="U204"/>
  <c r="U211" s="1"/>
  <c r="AB211"/>
  <c r="Z219"/>
  <c r="AA220"/>
  <c r="O217"/>
  <c r="Z183"/>
  <c r="Y182"/>
  <c r="Y186"/>
  <c r="X184"/>
  <c r="X183"/>
  <c r="Y196"/>
  <c r="Z199"/>
  <c r="Z201" s="1"/>
  <c r="Y199"/>
  <c r="AA199" s="1"/>
  <c r="R197"/>
  <c r="L204"/>
  <c r="Z208"/>
  <c r="Y206"/>
  <c r="Y210"/>
  <c r="Z205"/>
  <c r="Z209"/>
  <c r="R207"/>
  <c r="U206"/>
  <c r="U210"/>
  <c r="X205"/>
  <c r="X211" s="1"/>
  <c r="Z214"/>
  <c r="Z222" s="1"/>
  <c r="H42" i="3" s="1"/>
  <c r="Z218" i="2"/>
  <c r="L215"/>
  <c r="L219"/>
  <c r="L216"/>
  <c r="U215"/>
  <c r="U219"/>
  <c r="U216"/>
  <c r="U222" s="1"/>
  <c r="U220"/>
  <c r="X217"/>
  <c r="X221"/>
  <c r="AA208"/>
  <c r="AL208" s="1"/>
  <c r="Z184"/>
  <c r="R183"/>
  <c r="Z215"/>
  <c r="AA216"/>
  <c r="O221"/>
  <c r="U217"/>
  <c r="Z182"/>
  <c r="Z186"/>
  <c r="Y185"/>
  <c r="O184"/>
  <c r="R184"/>
  <c r="U184"/>
  <c r="AD185"/>
  <c r="Z198"/>
  <c r="L198"/>
  <c r="O200"/>
  <c r="R196"/>
  <c r="R200"/>
  <c r="Y204"/>
  <c r="Z207"/>
  <c r="Y205"/>
  <c r="AA205" s="1"/>
  <c r="Y209"/>
  <c r="O206"/>
  <c r="O210"/>
  <c r="R206"/>
  <c r="U205"/>
  <c r="U209"/>
  <c r="X208"/>
  <c r="Y214"/>
  <c r="Z217"/>
  <c r="Z221"/>
  <c r="Y218"/>
  <c r="AA218" s="1"/>
  <c r="L220"/>
  <c r="O218"/>
  <c r="AA185"/>
  <c r="AL185" s="1"/>
  <c r="R201"/>
  <c r="AA206"/>
  <c r="AL206" s="1"/>
  <c r="AA184"/>
  <c r="AL184" s="1"/>
  <c r="AA210"/>
  <c r="AL210" s="1"/>
  <c r="AA214"/>
  <c r="P201"/>
  <c r="Q211"/>
  <c r="Y221"/>
  <c r="AA221" s="1"/>
  <c r="L184"/>
  <c r="Y181"/>
  <c r="AA181" s="1"/>
  <c r="AL181" s="1"/>
  <c r="L199"/>
  <c r="L200"/>
  <c r="Q201"/>
  <c r="L209"/>
  <c r="L205"/>
  <c r="R204"/>
  <c r="R211" s="1"/>
  <c r="L214"/>
  <c r="R219"/>
  <c r="X216"/>
  <c r="Y207"/>
  <c r="AA207" s="1"/>
  <c r="AL207" s="1"/>
  <c r="L196"/>
  <c r="Y200"/>
  <c r="AA200" s="1"/>
  <c r="L210"/>
  <c r="L206"/>
  <c r="L218"/>
  <c r="R218"/>
  <c r="X215"/>
  <c r="X222" s="1"/>
  <c r="X219"/>
  <c r="Y219"/>
  <c r="AA219" s="1"/>
  <c r="Y215"/>
  <c r="AA215" s="1"/>
  <c r="Y198"/>
  <c r="AA198" s="1"/>
  <c r="Z204"/>
  <c r="AA204" s="1"/>
  <c r="Y217"/>
  <c r="AA217" s="1"/>
  <c r="Y197"/>
  <c r="AA197" s="1"/>
  <c r="R221"/>
  <c r="R222" s="1"/>
  <c r="AD219"/>
  <c r="AK221"/>
  <c r="AK220"/>
  <c r="AK219"/>
  <c r="AL219" s="1"/>
  <c r="AK218"/>
  <c r="AK217"/>
  <c r="AL217" s="1"/>
  <c r="AK216"/>
  <c r="AK215"/>
  <c r="AL215" s="1"/>
  <c r="T222"/>
  <c r="V222"/>
  <c r="W222"/>
  <c r="S222"/>
  <c r="P222"/>
  <c r="Q222"/>
  <c r="AK209"/>
  <c r="AK206"/>
  <c r="AJ211"/>
  <c r="Q41" i="3" s="1"/>
  <c r="AK205" i="2"/>
  <c r="AI211"/>
  <c r="P41" i="3" s="1"/>
  <c r="R41" s="1"/>
  <c r="AH211" i="2"/>
  <c r="AF211"/>
  <c r="AE211"/>
  <c r="AD209"/>
  <c r="AD211" s="1"/>
  <c r="AC211"/>
  <c r="V211"/>
  <c r="W211"/>
  <c r="S211"/>
  <c r="T211"/>
  <c r="AK200"/>
  <c r="AJ201"/>
  <c r="AI201"/>
  <c r="AK198"/>
  <c r="AH200"/>
  <c r="AF201"/>
  <c r="AE201"/>
  <c r="AH197"/>
  <c r="AD200"/>
  <c r="AC201"/>
  <c r="AD199"/>
  <c r="AL199" s="1"/>
  <c r="AD198"/>
  <c r="AB201"/>
  <c r="AA196"/>
  <c r="X199"/>
  <c r="X198"/>
  <c r="X200"/>
  <c r="V201"/>
  <c r="W201"/>
  <c r="T201"/>
  <c r="T223" s="1"/>
  <c r="S201"/>
  <c r="S223" s="1"/>
  <c r="Y183"/>
  <c r="AA183" s="1"/>
  <c r="AL183" s="1"/>
  <c r="X181"/>
  <c r="AD182"/>
  <c r="L185"/>
  <c r="L186"/>
  <c r="L182"/>
  <c r="L183"/>
  <c r="U223" l="1"/>
  <c r="AJ223"/>
  <c r="Q40" i="3"/>
  <c r="Q43" s="1"/>
  <c r="E14" i="18" s="1"/>
  <c r="P40" i="3"/>
  <c r="AI223" i="2"/>
  <c r="AL200"/>
  <c r="AA186"/>
  <c r="AL186" s="1"/>
  <c r="AL205"/>
  <c r="AA209"/>
  <c r="AL209" s="1"/>
  <c r="AK211"/>
  <c r="AL218"/>
  <c r="W223"/>
  <c r="X201"/>
  <c r="X223" s="1"/>
  <c r="AH201"/>
  <c r="AL198"/>
  <c r="Z211"/>
  <c r="H41" i="3" s="1"/>
  <c r="AL216" i="2"/>
  <c r="AL220"/>
  <c r="AL197"/>
  <c r="AA182"/>
  <c r="AL182" s="1"/>
  <c r="AL204"/>
  <c r="H40" i="3"/>
  <c r="Z223" i="2"/>
  <c r="AL214"/>
  <c r="AA222"/>
  <c r="AA201"/>
  <c r="AL196"/>
  <c r="Q223"/>
  <c r="Y201"/>
  <c r="V223"/>
  <c r="AL221"/>
  <c r="P223"/>
  <c r="Y211"/>
  <c r="G41" i="3" s="1"/>
  <c r="Y222" i="2"/>
  <c r="G42" i="3" s="1"/>
  <c r="R223" i="2"/>
  <c r="AK201"/>
  <c r="AK223" s="1"/>
  <c r="AD201"/>
  <c r="AA223" l="1"/>
  <c r="P43" i="3"/>
  <c r="E13" i="18" s="1"/>
  <c r="R40" i="3"/>
  <c r="R43" s="1"/>
  <c r="AA211" i="2"/>
  <c r="G40" i="3"/>
  <c r="AB171" i="2"/>
  <c r="AC177"/>
  <c r="AB177"/>
  <c r="AD177" s="1"/>
  <c r="AC176"/>
  <c r="AB176"/>
  <c r="AC175"/>
  <c r="AB175"/>
  <c r="AC174"/>
  <c r="AB174"/>
  <c r="AC173"/>
  <c r="AB173"/>
  <c r="AD173" s="1"/>
  <c r="AC172"/>
  <c r="AB172"/>
  <c r="AC171"/>
  <c r="AC170"/>
  <c r="AB170"/>
  <c r="AC169"/>
  <c r="AB169"/>
  <c r="AC168"/>
  <c r="AB168"/>
  <c r="AD168" s="1"/>
  <c r="AD171"/>
  <c r="AD172"/>
  <c r="AC167"/>
  <c r="AB167"/>
  <c r="AD167" s="1"/>
  <c r="AJ177"/>
  <c r="AI177"/>
  <c r="AJ176"/>
  <c r="AI176"/>
  <c r="AJ175"/>
  <c r="AI175"/>
  <c r="AJ174"/>
  <c r="AI174"/>
  <c r="AJ173"/>
  <c r="AI173"/>
  <c r="AJ172"/>
  <c r="AI172"/>
  <c r="AJ171"/>
  <c r="AI171"/>
  <c r="AJ170"/>
  <c r="AI170"/>
  <c r="AJ169"/>
  <c r="AI169"/>
  <c r="AK175"/>
  <c r="AJ168"/>
  <c r="AK168" s="1"/>
  <c r="AI168"/>
  <c r="AJ167"/>
  <c r="AI167"/>
  <c r="AK167" s="1"/>
  <c r="AH170"/>
  <c r="AH174"/>
  <c r="AF177"/>
  <c r="AH177" s="1"/>
  <c r="AF176"/>
  <c r="AF175"/>
  <c r="AF174"/>
  <c r="AF173"/>
  <c r="AH173" s="1"/>
  <c r="AF172"/>
  <c r="AF171"/>
  <c r="AF170"/>
  <c r="AF169"/>
  <c r="AH169" s="1"/>
  <c r="AF168"/>
  <c r="AE177"/>
  <c r="AE176"/>
  <c r="AH176" s="1"/>
  <c r="AE175"/>
  <c r="AH175" s="1"/>
  <c r="AE174"/>
  <c r="AE173"/>
  <c r="AE172"/>
  <c r="AH172" s="1"/>
  <c r="AE171"/>
  <c r="AH171" s="1"/>
  <c r="AE170"/>
  <c r="AE169"/>
  <c r="AE168"/>
  <c r="AH168" s="1"/>
  <c r="AH167"/>
  <c r="AF167"/>
  <c r="AE167"/>
  <c r="V177"/>
  <c r="V176"/>
  <c r="X176" s="1"/>
  <c r="V175"/>
  <c r="V174"/>
  <c r="V173"/>
  <c r="V172"/>
  <c r="X172" s="1"/>
  <c r="V171"/>
  <c r="V170"/>
  <c r="V169"/>
  <c r="V168"/>
  <c r="X168" s="1"/>
  <c r="W177"/>
  <c r="W176"/>
  <c r="W175"/>
  <c r="W174"/>
  <c r="W173"/>
  <c r="W172"/>
  <c r="W171"/>
  <c r="W170"/>
  <c r="W169"/>
  <c r="W168"/>
  <c r="W167"/>
  <c r="V167"/>
  <c r="X167" s="1"/>
  <c r="S177"/>
  <c r="S176"/>
  <c r="S175"/>
  <c r="S174"/>
  <c r="S173"/>
  <c r="S172"/>
  <c r="S171"/>
  <c r="S170"/>
  <c r="S169"/>
  <c r="S168"/>
  <c r="T177"/>
  <c r="T176"/>
  <c r="T175"/>
  <c r="T174"/>
  <c r="T173"/>
  <c r="T172"/>
  <c r="T171"/>
  <c r="T170"/>
  <c r="T169"/>
  <c r="T168"/>
  <c r="T167"/>
  <c r="S167"/>
  <c r="P177"/>
  <c r="P176"/>
  <c r="R176" s="1"/>
  <c r="P175"/>
  <c r="P174"/>
  <c r="P173"/>
  <c r="P172"/>
  <c r="R172" s="1"/>
  <c r="P171"/>
  <c r="P170"/>
  <c r="P169"/>
  <c r="P168"/>
  <c r="R168" s="1"/>
  <c r="Q177"/>
  <c r="Q176"/>
  <c r="Q175"/>
  <c r="Q174"/>
  <c r="Q173"/>
  <c r="Q172"/>
  <c r="Q171"/>
  <c r="Q170"/>
  <c r="Q169"/>
  <c r="Q168"/>
  <c r="Q167"/>
  <c r="P167"/>
  <c r="M177"/>
  <c r="M176"/>
  <c r="M175"/>
  <c r="M174"/>
  <c r="O174" s="1"/>
  <c r="M173"/>
  <c r="M172"/>
  <c r="M171"/>
  <c r="M170"/>
  <c r="O170" s="1"/>
  <c r="M169"/>
  <c r="M168"/>
  <c r="N177"/>
  <c r="O177" s="1"/>
  <c r="N176"/>
  <c r="N175"/>
  <c r="N174"/>
  <c r="N173"/>
  <c r="O173" s="1"/>
  <c r="N172"/>
  <c r="N171"/>
  <c r="N170"/>
  <c r="N169"/>
  <c r="N168"/>
  <c r="N167"/>
  <c r="M167"/>
  <c r="O167" s="1"/>
  <c r="J177"/>
  <c r="Y177" s="1"/>
  <c r="J176"/>
  <c r="J175"/>
  <c r="J174"/>
  <c r="J173"/>
  <c r="Y173" s="1"/>
  <c r="J172"/>
  <c r="J171"/>
  <c r="J170"/>
  <c r="J169"/>
  <c r="Y169" s="1"/>
  <c r="J168"/>
  <c r="K177"/>
  <c r="K176"/>
  <c r="K175"/>
  <c r="L175" s="1"/>
  <c r="K174"/>
  <c r="K173"/>
  <c r="K172"/>
  <c r="K171"/>
  <c r="L171" s="1"/>
  <c r="K170"/>
  <c r="K169"/>
  <c r="K168"/>
  <c r="L167"/>
  <c r="K167"/>
  <c r="J167"/>
  <c r="AJ157"/>
  <c r="AI157"/>
  <c r="AK157" s="1"/>
  <c r="AJ156"/>
  <c r="AK156" s="1"/>
  <c r="AI156"/>
  <c r="AJ155"/>
  <c r="AI155"/>
  <c r="AK155" s="1"/>
  <c r="AJ154"/>
  <c r="AK154" s="1"/>
  <c r="AI154"/>
  <c r="AJ153"/>
  <c r="AI153"/>
  <c r="AK153" s="1"/>
  <c r="AJ152"/>
  <c r="AK152" s="1"/>
  <c r="AI152"/>
  <c r="AJ151"/>
  <c r="AI151"/>
  <c r="AK151" s="1"/>
  <c r="AJ150"/>
  <c r="AK150" s="1"/>
  <c r="AI150"/>
  <c r="AJ149"/>
  <c r="AI149"/>
  <c r="AK149" s="1"/>
  <c r="AH153"/>
  <c r="AH157"/>
  <c r="AE157"/>
  <c r="AE156"/>
  <c r="AH156" s="1"/>
  <c r="AE155"/>
  <c r="AH155" s="1"/>
  <c r="AE154"/>
  <c r="AH154" s="1"/>
  <c r="AE153"/>
  <c r="AE152"/>
  <c r="AH152" s="1"/>
  <c r="AE151"/>
  <c r="AH151" s="1"/>
  <c r="AE150"/>
  <c r="AH150" s="1"/>
  <c r="AF157"/>
  <c r="AF156"/>
  <c r="AF155"/>
  <c r="AF154"/>
  <c r="AF153"/>
  <c r="AF152"/>
  <c r="AF151"/>
  <c r="AF150"/>
  <c r="AF149"/>
  <c r="AE149"/>
  <c r="AH149" s="1"/>
  <c r="AC157"/>
  <c r="AD157" s="1"/>
  <c r="AB157"/>
  <c r="AC156"/>
  <c r="AB156"/>
  <c r="AB155"/>
  <c r="AC154"/>
  <c r="AB154"/>
  <c r="AC153"/>
  <c r="AB153"/>
  <c r="AC152"/>
  <c r="AB152"/>
  <c r="AC151"/>
  <c r="AB151"/>
  <c r="AC150"/>
  <c r="AB150"/>
  <c r="AD153"/>
  <c r="AD155"/>
  <c r="AC149"/>
  <c r="AB149"/>
  <c r="AD149" s="1"/>
  <c r="V157"/>
  <c r="X157" s="1"/>
  <c r="V156"/>
  <c r="V155"/>
  <c r="V154"/>
  <c r="V153"/>
  <c r="X153" s="1"/>
  <c r="V152"/>
  <c r="V151"/>
  <c r="V150"/>
  <c r="W157"/>
  <c r="W156"/>
  <c r="W155"/>
  <c r="W154"/>
  <c r="W153"/>
  <c r="W152"/>
  <c r="W151"/>
  <c r="W150"/>
  <c r="U156"/>
  <c r="S157"/>
  <c r="S156"/>
  <c r="S155"/>
  <c r="S154"/>
  <c r="S153"/>
  <c r="S152"/>
  <c r="S151"/>
  <c r="S150"/>
  <c r="T157"/>
  <c r="T156"/>
  <c r="T155"/>
  <c r="T154"/>
  <c r="T153"/>
  <c r="T152"/>
  <c r="T151"/>
  <c r="T150"/>
  <c r="W149"/>
  <c r="V149"/>
  <c r="T149"/>
  <c r="S149"/>
  <c r="U149" s="1"/>
  <c r="P157"/>
  <c r="P156"/>
  <c r="R156" s="1"/>
  <c r="P155"/>
  <c r="P153"/>
  <c r="P152"/>
  <c r="P151"/>
  <c r="P150"/>
  <c r="Q157"/>
  <c r="R157" s="1"/>
  <c r="Q156"/>
  <c r="Q155"/>
  <c r="Q154"/>
  <c r="Q153"/>
  <c r="Q152"/>
  <c r="R152" s="1"/>
  <c r="Q151"/>
  <c r="Q150"/>
  <c r="R150" s="1"/>
  <c r="Q149"/>
  <c r="P149"/>
  <c r="M157"/>
  <c r="M156"/>
  <c r="M155"/>
  <c r="M154"/>
  <c r="M153"/>
  <c r="O153" s="1"/>
  <c r="M152"/>
  <c r="M151"/>
  <c r="M150"/>
  <c r="N156"/>
  <c r="N155"/>
  <c r="N154"/>
  <c r="N153"/>
  <c r="N152"/>
  <c r="N151"/>
  <c r="N150"/>
  <c r="O150" s="1"/>
  <c r="N157"/>
  <c r="N149"/>
  <c r="M149"/>
  <c r="L153"/>
  <c r="J157"/>
  <c r="J156"/>
  <c r="J155"/>
  <c r="J154"/>
  <c r="J153"/>
  <c r="J152"/>
  <c r="J151"/>
  <c r="J150"/>
  <c r="Y150" s="1"/>
  <c r="K157"/>
  <c r="K156"/>
  <c r="K155"/>
  <c r="K154"/>
  <c r="K153"/>
  <c r="K152"/>
  <c r="K151"/>
  <c r="K150"/>
  <c r="K149"/>
  <c r="J149"/>
  <c r="L149" s="1"/>
  <c r="AB143"/>
  <c r="AC145"/>
  <c r="AB145"/>
  <c r="AC144"/>
  <c r="AB144"/>
  <c r="AC143"/>
  <c r="AC142"/>
  <c r="AB142"/>
  <c r="AC141"/>
  <c r="AB141"/>
  <c r="AC140"/>
  <c r="AB140"/>
  <c r="AD140" s="1"/>
  <c r="AC139"/>
  <c r="AB139"/>
  <c r="AC138"/>
  <c r="AC137"/>
  <c r="AB138"/>
  <c r="AD138" s="1"/>
  <c r="AB137"/>
  <c r="AC136"/>
  <c r="AB136"/>
  <c r="AD136" s="1"/>
  <c r="AD143"/>
  <c r="AD145"/>
  <c r="AC135"/>
  <c r="AB135"/>
  <c r="AD135" s="1"/>
  <c r="AJ145"/>
  <c r="AI145"/>
  <c r="AJ144"/>
  <c r="AI144"/>
  <c r="AJ143"/>
  <c r="AK143" s="1"/>
  <c r="AI143"/>
  <c r="AJ142"/>
  <c r="AJ141"/>
  <c r="AI142"/>
  <c r="AI141"/>
  <c r="AJ140"/>
  <c r="AI140"/>
  <c r="AJ139"/>
  <c r="AI139"/>
  <c r="AJ138"/>
  <c r="AI138"/>
  <c r="AJ137"/>
  <c r="AI137"/>
  <c r="AJ136"/>
  <c r="AI136"/>
  <c r="AK136" s="1"/>
  <c r="AJ135"/>
  <c r="AI135"/>
  <c r="AK135" s="1"/>
  <c r="AE145"/>
  <c r="AH145" s="1"/>
  <c r="AE144"/>
  <c r="AH144" s="1"/>
  <c r="AE143"/>
  <c r="AE142"/>
  <c r="AH142" s="1"/>
  <c r="AE141"/>
  <c r="AH141" s="1"/>
  <c r="AE140"/>
  <c r="AH140" s="1"/>
  <c r="AE139"/>
  <c r="AE138"/>
  <c r="AH138" s="1"/>
  <c r="AE137"/>
  <c r="AH137" s="1"/>
  <c r="AF145"/>
  <c r="AF144"/>
  <c r="AF143"/>
  <c r="AH143" s="1"/>
  <c r="AF142"/>
  <c r="AF141"/>
  <c r="AF140"/>
  <c r="AF139"/>
  <c r="AH139" s="1"/>
  <c r="AF138"/>
  <c r="AF137"/>
  <c r="AF136"/>
  <c r="AF135"/>
  <c r="AH135" s="1"/>
  <c r="AE136"/>
  <c r="AH136" s="1"/>
  <c r="AE135"/>
  <c r="V145"/>
  <c r="V144"/>
  <c r="V143"/>
  <c r="V142"/>
  <c r="V141"/>
  <c r="V140"/>
  <c r="X140" s="1"/>
  <c r="V139"/>
  <c r="V138"/>
  <c r="V137"/>
  <c r="V136"/>
  <c r="X136" s="1"/>
  <c r="W145"/>
  <c r="W144"/>
  <c r="W143"/>
  <c r="W142"/>
  <c r="W141"/>
  <c r="W140"/>
  <c r="W139"/>
  <c r="W138"/>
  <c r="W137"/>
  <c r="W136"/>
  <c r="W135"/>
  <c r="V135"/>
  <c r="S145"/>
  <c r="S144"/>
  <c r="S143"/>
  <c r="U143" s="1"/>
  <c r="S142"/>
  <c r="S141"/>
  <c r="S140"/>
  <c r="S139"/>
  <c r="U139" s="1"/>
  <c r="S138"/>
  <c r="S137"/>
  <c r="S136"/>
  <c r="T145"/>
  <c r="U145" s="1"/>
  <c r="T144"/>
  <c r="T143"/>
  <c r="T142"/>
  <c r="T141"/>
  <c r="U141" s="1"/>
  <c r="T140"/>
  <c r="T139"/>
  <c r="T138"/>
  <c r="T137"/>
  <c r="U137" s="1"/>
  <c r="T136"/>
  <c r="T135"/>
  <c r="S135"/>
  <c r="P145"/>
  <c r="P144"/>
  <c r="P143"/>
  <c r="P142"/>
  <c r="R142" s="1"/>
  <c r="P141"/>
  <c r="P140"/>
  <c r="P139"/>
  <c r="P138"/>
  <c r="R138" s="1"/>
  <c r="P137"/>
  <c r="P136"/>
  <c r="Q145"/>
  <c r="Q144"/>
  <c r="Q143"/>
  <c r="Q142"/>
  <c r="Q141"/>
  <c r="Q140"/>
  <c r="Q139"/>
  <c r="Q138"/>
  <c r="Q137"/>
  <c r="Q136"/>
  <c r="Q135"/>
  <c r="P135"/>
  <c r="O145"/>
  <c r="M145"/>
  <c r="M144"/>
  <c r="M143"/>
  <c r="M142"/>
  <c r="M141"/>
  <c r="O141" s="1"/>
  <c r="M140"/>
  <c r="M139"/>
  <c r="M138"/>
  <c r="M137"/>
  <c r="O137" s="1"/>
  <c r="M136"/>
  <c r="N145"/>
  <c r="N144"/>
  <c r="N143"/>
  <c r="O143" s="1"/>
  <c r="N142"/>
  <c r="N141"/>
  <c r="N140"/>
  <c r="N139"/>
  <c r="O139" s="1"/>
  <c r="N138"/>
  <c r="N137"/>
  <c r="N136"/>
  <c r="N135"/>
  <c r="O135" s="1"/>
  <c r="M135"/>
  <c r="J145"/>
  <c r="J144"/>
  <c r="J143"/>
  <c r="J142"/>
  <c r="J141"/>
  <c r="J140"/>
  <c r="J139"/>
  <c r="Y139" s="1"/>
  <c r="J138"/>
  <c r="L138" s="1"/>
  <c r="J137"/>
  <c r="J136"/>
  <c r="K145"/>
  <c r="K144"/>
  <c r="K143"/>
  <c r="L143" s="1"/>
  <c r="K142"/>
  <c r="K141"/>
  <c r="K140"/>
  <c r="K139"/>
  <c r="L139" s="1"/>
  <c r="K138"/>
  <c r="K137"/>
  <c r="K136"/>
  <c r="L135"/>
  <c r="K135"/>
  <c r="J135"/>
  <c r="AI125"/>
  <c r="AK125" s="1"/>
  <c r="AB125"/>
  <c r="AB123"/>
  <c r="AC131"/>
  <c r="AD131" s="1"/>
  <c r="AC130"/>
  <c r="AB131"/>
  <c r="AB130"/>
  <c r="AC129"/>
  <c r="AB129"/>
  <c r="AC128"/>
  <c r="AB128"/>
  <c r="AC127"/>
  <c r="AB127"/>
  <c r="AD127" s="1"/>
  <c r="AC126"/>
  <c r="AB126"/>
  <c r="AC125"/>
  <c r="AD128"/>
  <c r="AD129"/>
  <c r="AD130"/>
  <c r="AC124"/>
  <c r="AB124"/>
  <c r="AD124" s="1"/>
  <c r="AD123"/>
  <c r="AC123"/>
  <c r="AJ131"/>
  <c r="AI131"/>
  <c r="AK131" s="1"/>
  <c r="AJ130"/>
  <c r="AK130" s="1"/>
  <c r="AI130"/>
  <c r="AJ129"/>
  <c r="AI129"/>
  <c r="AK129" s="1"/>
  <c r="AJ128"/>
  <c r="AI128"/>
  <c r="AJ127"/>
  <c r="AI127"/>
  <c r="AK127" s="1"/>
  <c r="AJ126"/>
  <c r="AK126" s="1"/>
  <c r="AI126"/>
  <c r="AJ125"/>
  <c r="AJ124"/>
  <c r="AI124"/>
  <c r="AK124" s="1"/>
  <c r="AK128"/>
  <c r="AJ123"/>
  <c r="AJ132" s="1"/>
  <c r="Q25" i="3" s="1"/>
  <c r="AI123" i="2"/>
  <c r="AH130"/>
  <c r="AF131"/>
  <c r="AF130"/>
  <c r="AF129"/>
  <c r="AH129" s="1"/>
  <c r="AF128"/>
  <c r="AF127"/>
  <c r="AF126"/>
  <c r="AH126" s="1"/>
  <c r="AF125"/>
  <c r="AH125" s="1"/>
  <c r="AF124"/>
  <c r="AF123"/>
  <c r="AE131"/>
  <c r="AH131" s="1"/>
  <c r="AE130"/>
  <c r="AE129"/>
  <c r="AE128"/>
  <c r="AH128" s="1"/>
  <c r="AE127"/>
  <c r="AH127" s="1"/>
  <c r="AE126"/>
  <c r="AE125"/>
  <c r="AE124"/>
  <c r="AH124" s="1"/>
  <c r="AE123"/>
  <c r="AH123" s="1"/>
  <c r="AH132" s="1"/>
  <c r="V131"/>
  <c r="V130"/>
  <c r="V129"/>
  <c r="V128"/>
  <c r="V127"/>
  <c r="V126"/>
  <c r="V125"/>
  <c r="V124"/>
  <c r="W131"/>
  <c r="W130"/>
  <c r="W129"/>
  <c r="W128"/>
  <c r="W127"/>
  <c r="W126"/>
  <c r="W125"/>
  <c r="W124"/>
  <c r="W123"/>
  <c r="V123"/>
  <c r="S131"/>
  <c r="S130"/>
  <c r="S129"/>
  <c r="S128"/>
  <c r="S127"/>
  <c r="U127" s="1"/>
  <c r="S126"/>
  <c r="S125"/>
  <c r="S124"/>
  <c r="T131"/>
  <c r="T130"/>
  <c r="T129"/>
  <c r="T128"/>
  <c r="T127"/>
  <c r="T126"/>
  <c r="T125"/>
  <c r="T124"/>
  <c r="T123"/>
  <c r="S123"/>
  <c r="R129"/>
  <c r="P131"/>
  <c r="P130"/>
  <c r="P129"/>
  <c r="P128"/>
  <c r="P127"/>
  <c r="P126"/>
  <c r="P125"/>
  <c r="R125" s="1"/>
  <c r="P124"/>
  <c r="Q131"/>
  <c r="Q130"/>
  <c r="Q129"/>
  <c r="Q128"/>
  <c r="Q127"/>
  <c r="Q126"/>
  <c r="Q125"/>
  <c r="Q124"/>
  <c r="Q123"/>
  <c r="P123"/>
  <c r="O129"/>
  <c r="M131"/>
  <c r="M130"/>
  <c r="M129"/>
  <c r="M128"/>
  <c r="M127"/>
  <c r="M126"/>
  <c r="M125"/>
  <c r="O125" s="1"/>
  <c r="M124"/>
  <c r="N131"/>
  <c r="N130"/>
  <c r="N129"/>
  <c r="N128"/>
  <c r="N127"/>
  <c r="N126"/>
  <c r="N125"/>
  <c r="N124"/>
  <c r="K131"/>
  <c r="Z131" s="1"/>
  <c r="K130"/>
  <c r="K129"/>
  <c r="K128"/>
  <c r="K127"/>
  <c r="Z127" s="1"/>
  <c r="K126"/>
  <c r="K125"/>
  <c r="K124"/>
  <c r="N123"/>
  <c r="M123"/>
  <c r="J124"/>
  <c r="J123"/>
  <c r="J131"/>
  <c r="J130"/>
  <c r="J129"/>
  <c r="J128"/>
  <c r="J127"/>
  <c r="J126"/>
  <c r="J125"/>
  <c r="K123"/>
  <c r="AI108"/>
  <c r="AK108" s="1"/>
  <c r="AJ113"/>
  <c r="AI113"/>
  <c r="AJ112"/>
  <c r="AK112" s="1"/>
  <c r="AI112"/>
  <c r="AJ111"/>
  <c r="AI111"/>
  <c r="AK111" s="1"/>
  <c r="AJ110"/>
  <c r="AK110" s="1"/>
  <c r="AI110"/>
  <c r="AJ109"/>
  <c r="AI109"/>
  <c r="AK109" s="1"/>
  <c r="AJ108"/>
  <c r="AH109"/>
  <c r="AH113"/>
  <c r="AH108"/>
  <c r="AF113"/>
  <c r="AF112"/>
  <c r="AH112" s="1"/>
  <c r="AF111"/>
  <c r="AH111" s="1"/>
  <c r="AF110"/>
  <c r="AH110" s="1"/>
  <c r="AF109"/>
  <c r="AF108"/>
  <c r="AE113"/>
  <c r="AE112"/>
  <c r="AE111"/>
  <c r="AE110"/>
  <c r="AE109"/>
  <c r="AE108"/>
  <c r="AC113"/>
  <c r="AB113"/>
  <c r="AD113" s="1"/>
  <c r="AC112"/>
  <c r="AD112" s="1"/>
  <c r="AB112"/>
  <c r="AC111"/>
  <c r="AB111"/>
  <c r="AC110"/>
  <c r="AD110" s="1"/>
  <c r="AB110"/>
  <c r="AC109"/>
  <c r="AB109"/>
  <c r="AD109"/>
  <c r="AD111"/>
  <c r="AC108"/>
  <c r="AB108"/>
  <c r="AD108" s="1"/>
  <c r="V113"/>
  <c r="V112"/>
  <c r="V111"/>
  <c r="V110"/>
  <c r="V109"/>
  <c r="W113"/>
  <c r="W112"/>
  <c r="W111"/>
  <c r="W110"/>
  <c r="W109"/>
  <c r="W108"/>
  <c r="V108"/>
  <c r="S113"/>
  <c r="S112"/>
  <c r="S111"/>
  <c r="S110"/>
  <c r="U110" s="1"/>
  <c r="S109"/>
  <c r="T113"/>
  <c r="T112"/>
  <c r="T111"/>
  <c r="T110"/>
  <c r="T109"/>
  <c r="T108"/>
  <c r="S108"/>
  <c r="P113"/>
  <c r="R113" s="1"/>
  <c r="P112"/>
  <c r="P111"/>
  <c r="P110"/>
  <c r="P109"/>
  <c r="Q113"/>
  <c r="Q112"/>
  <c r="Q111"/>
  <c r="Q110"/>
  <c r="Q109"/>
  <c r="R109" s="1"/>
  <c r="Q108"/>
  <c r="P108"/>
  <c r="M113"/>
  <c r="M112"/>
  <c r="O112" s="1"/>
  <c r="M111"/>
  <c r="M110"/>
  <c r="M109"/>
  <c r="N113"/>
  <c r="N112"/>
  <c r="N111"/>
  <c r="N110"/>
  <c r="N109"/>
  <c r="N108"/>
  <c r="M108"/>
  <c r="AG114"/>
  <c r="J113"/>
  <c r="J112"/>
  <c r="J111"/>
  <c r="J110"/>
  <c r="J109"/>
  <c r="K113"/>
  <c r="K112"/>
  <c r="K111"/>
  <c r="K110"/>
  <c r="K109"/>
  <c r="K108"/>
  <c r="J108"/>
  <c r="AH178" l="1"/>
  <c r="U108"/>
  <c r="M132"/>
  <c r="X127"/>
  <c r="Z154"/>
  <c r="U157"/>
  <c r="AF178"/>
  <c r="N33" i="3" s="1"/>
  <c r="AD170" i="2"/>
  <c r="L109"/>
  <c r="L113"/>
  <c r="O108"/>
  <c r="O111"/>
  <c r="R110"/>
  <c r="X109"/>
  <c r="X113"/>
  <c r="AF114"/>
  <c r="N19" i="3" s="1"/>
  <c r="Y124" i="2"/>
  <c r="AD126"/>
  <c r="AD125"/>
  <c r="AD132" s="1"/>
  <c r="Z137"/>
  <c r="Z141"/>
  <c r="Z145"/>
  <c r="Y143"/>
  <c r="R135"/>
  <c r="U138"/>
  <c r="U142"/>
  <c r="X137"/>
  <c r="X141"/>
  <c r="X145"/>
  <c r="X139"/>
  <c r="X143"/>
  <c r="AF146"/>
  <c r="AK141"/>
  <c r="AK145"/>
  <c r="AD142"/>
  <c r="Z153"/>
  <c r="Z157"/>
  <c r="L157"/>
  <c r="O154"/>
  <c r="X149"/>
  <c r="U152"/>
  <c r="AD152"/>
  <c r="AD154"/>
  <c r="Z169"/>
  <c r="AA169" s="1"/>
  <c r="Z173"/>
  <c r="Z177"/>
  <c r="AA177" s="1"/>
  <c r="Y171"/>
  <c r="Y175"/>
  <c r="O169"/>
  <c r="R170"/>
  <c r="R174"/>
  <c r="U167"/>
  <c r="U168"/>
  <c r="U172"/>
  <c r="U176"/>
  <c r="AK171"/>
  <c r="AD169"/>
  <c r="U131"/>
  <c r="AA173"/>
  <c r="R112"/>
  <c r="U111"/>
  <c r="X108"/>
  <c r="L126"/>
  <c r="R123"/>
  <c r="U123"/>
  <c r="X131"/>
  <c r="X135"/>
  <c r="AD139"/>
  <c r="Z150"/>
  <c r="U153"/>
  <c r="L108"/>
  <c r="Z112"/>
  <c r="Y111"/>
  <c r="AB114"/>
  <c r="J19" i="3" s="1"/>
  <c r="U112" i="2"/>
  <c r="O124"/>
  <c r="O128"/>
  <c r="R124"/>
  <c r="R128"/>
  <c r="X125"/>
  <c r="X129"/>
  <c r="X144"/>
  <c r="X138"/>
  <c r="X142"/>
  <c r="AK138"/>
  <c r="AK144"/>
  <c r="AD137"/>
  <c r="AD144"/>
  <c r="Y152"/>
  <c r="Y156"/>
  <c r="AD156"/>
  <c r="R167"/>
  <c r="R178" s="1"/>
  <c r="R171"/>
  <c r="R175"/>
  <c r="R169"/>
  <c r="R173"/>
  <c r="U169"/>
  <c r="U173"/>
  <c r="U177"/>
  <c r="U171"/>
  <c r="U175"/>
  <c r="X169"/>
  <c r="AK172"/>
  <c r="AK174"/>
  <c r="Z108"/>
  <c r="U126"/>
  <c r="X112"/>
  <c r="Z123"/>
  <c r="Y128"/>
  <c r="P132"/>
  <c r="R127"/>
  <c r="X124"/>
  <c r="X128"/>
  <c r="Z138"/>
  <c r="Z142"/>
  <c r="L136"/>
  <c r="L140"/>
  <c r="L146" s="1"/>
  <c r="L144"/>
  <c r="R139"/>
  <c r="R143"/>
  <c r="R137"/>
  <c r="R146" s="1"/>
  <c r="R141"/>
  <c r="R145"/>
  <c r="Z151"/>
  <c r="Z155"/>
  <c r="L151"/>
  <c r="L155"/>
  <c r="L156"/>
  <c r="U150"/>
  <c r="U154"/>
  <c r="X150"/>
  <c r="X154"/>
  <c r="Y155"/>
  <c r="AA155" s="1"/>
  <c r="AL155" s="1"/>
  <c r="Z167"/>
  <c r="Z170"/>
  <c r="Z174"/>
  <c r="L168"/>
  <c r="L172"/>
  <c r="L176"/>
  <c r="L169"/>
  <c r="O171"/>
  <c r="O175"/>
  <c r="X171"/>
  <c r="X175"/>
  <c r="U130"/>
  <c r="Y112"/>
  <c r="AA112" s="1"/>
  <c r="AL112" s="1"/>
  <c r="Z130"/>
  <c r="O126"/>
  <c r="O130"/>
  <c r="R126"/>
  <c r="R130"/>
  <c r="Z124"/>
  <c r="AA124" s="1"/>
  <c r="AL124" s="1"/>
  <c r="Z128"/>
  <c r="U124"/>
  <c r="U128"/>
  <c r="Z136"/>
  <c r="Z140"/>
  <c r="Z144"/>
  <c r="O138"/>
  <c r="O142"/>
  <c r="R136"/>
  <c r="R140"/>
  <c r="R144"/>
  <c r="U136"/>
  <c r="U140"/>
  <c r="U144"/>
  <c r="L150"/>
  <c r="L154"/>
  <c r="O149"/>
  <c r="Y149"/>
  <c r="Y167"/>
  <c r="L173"/>
  <c r="U170"/>
  <c r="U174"/>
  <c r="X170"/>
  <c r="X174"/>
  <c r="K178"/>
  <c r="L111"/>
  <c r="Z110"/>
  <c r="R108"/>
  <c r="R114" s="1"/>
  <c r="R111"/>
  <c r="T114"/>
  <c r="U109"/>
  <c r="U114" s="1"/>
  <c r="U113"/>
  <c r="W114"/>
  <c r="X111"/>
  <c r="X110"/>
  <c r="Y126"/>
  <c r="Y130"/>
  <c r="AA130" s="1"/>
  <c r="AL130" s="1"/>
  <c r="Y138"/>
  <c r="Y142"/>
  <c r="L142"/>
  <c r="O151"/>
  <c r="O155"/>
  <c r="X152"/>
  <c r="X156"/>
  <c r="L177"/>
  <c r="R177"/>
  <c r="X173"/>
  <c r="X177"/>
  <c r="L137"/>
  <c r="Y137"/>
  <c r="L141"/>
  <c r="Y141"/>
  <c r="AA141" s="1"/>
  <c r="O157"/>
  <c r="Y157"/>
  <c r="AA157" s="1"/>
  <c r="AL157" s="1"/>
  <c r="O131"/>
  <c r="R131"/>
  <c r="U125"/>
  <c r="O110"/>
  <c r="Z109"/>
  <c r="L127"/>
  <c r="Z135"/>
  <c r="K146"/>
  <c r="U135"/>
  <c r="O152"/>
  <c r="O156"/>
  <c r="K114"/>
  <c r="Z111"/>
  <c r="AA111" s="1"/>
  <c r="AL111" s="1"/>
  <c r="Y110"/>
  <c r="AA110" s="1"/>
  <c r="AL110" s="1"/>
  <c r="Z113"/>
  <c r="Z125"/>
  <c r="Z129"/>
  <c r="X126"/>
  <c r="X130"/>
  <c r="Y135"/>
  <c r="Z149"/>
  <c r="Y153"/>
  <c r="AA153" s="1"/>
  <c r="AL153" s="1"/>
  <c r="L152"/>
  <c r="U151"/>
  <c r="U155"/>
  <c r="X151"/>
  <c r="X155"/>
  <c r="AA150"/>
  <c r="AA167"/>
  <c r="AL167" s="1"/>
  <c r="O168"/>
  <c r="O172"/>
  <c r="O176"/>
  <c r="L145"/>
  <c r="Y145"/>
  <c r="AA145" s="1"/>
  <c r="O109"/>
  <c r="Y109"/>
  <c r="O113"/>
  <c r="Y113"/>
  <c r="AA113" s="1"/>
  <c r="L125"/>
  <c r="Y125"/>
  <c r="Y129"/>
  <c r="AA129" s="1"/>
  <c r="AL129" s="1"/>
  <c r="L129"/>
  <c r="Y170"/>
  <c r="L170"/>
  <c r="Y174"/>
  <c r="AA174" s="1"/>
  <c r="L174"/>
  <c r="O127"/>
  <c r="U129"/>
  <c r="Y131"/>
  <c r="AA131" s="1"/>
  <c r="AL131" s="1"/>
  <c r="Z143"/>
  <c r="Y108"/>
  <c r="L112"/>
  <c r="Y127"/>
  <c r="AA127" s="1"/>
  <c r="AL127" s="1"/>
  <c r="O136"/>
  <c r="O140"/>
  <c r="O144"/>
  <c r="Z139"/>
  <c r="AA139" s="1"/>
  <c r="Z152"/>
  <c r="AA152" s="1"/>
  <c r="AL152" s="1"/>
  <c r="Z156"/>
  <c r="AA156" s="1"/>
  <c r="AL156" s="1"/>
  <c r="Z168"/>
  <c r="Z172"/>
  <c r="Z176"/>
  <c r="Y176"/>
  <c r="Y172"/>
  <c r="Y168"/>
  <c r="Z175"/>
  <c r="AA175" s="1"/>
  <c r="Z171"/>
  <c r="L123"/>
  <c r="N132"/>
  <c r="Y144"/>
  <c r="Y140"/>
  <c r="Y136"/>
  <c r="Y151"/>
  <c r="AA151" s="1"/>
  <c r="J114"/>
  <c r="L110"/>
  <c r="L130"/>
  <c r="O123"/>
  <c r="O132" s="1"/>
  <c r="L131"/>
  <c r="Y123"/>
  <c r="AA123" s="1"/>
  <c r="J178"/>
  <c r="P114"/>
  <c r="J132"/>
  <c r="L128"/>
  <c r="X123"/>
  <c r="Z126"/>
  <c r="AA126" s="1"/>
  <c r="AL126" s="1"/>
  <c r="AD176"/>
  <c r="AD175"/>
  <c r="AD174"/>
  <c r="AB178"/>
  <c r="J33" i="3" s="1"/>
  <c r="AC178" i="2"/>
  <c r="K33" i="3" s="1"/>
  <c r="AK177" i="2"/>
  <c r="AK176"/>
  <c r="AK173"/>
  <c r="AL173" s="1"/>
  <c r="AK170"/>
  <c r="AK169"/>
  <c r="AJ178"/>
  <c r="Q33" i="3" s="1"/>
  <c r="AI178" i="2"/>
  <c r="P33" i="3" s="1"/>
  <c r="R33" s="1"/>
  <c r="AE178" i="2"/>
  <c r="M33" i="3" s="1"/>
  <c r="V178" i="2"/>
  <c r="W178"/>
  <c r="S178"/>
  <c r="T178"/>
  <c r="P178"/>
  <c r="Q178"/>
  <c r="N178"/>
  <c r="M178"/>
  <c r="AD151"/>
  <c r="AD150"/>
  <c r="R153"/>
  <c r="R151"/>
  <c r="R155"/>
  <c r="R149"/>
  <c r="AD141"/>
  <c r="AC146"/>
  <c r="AB146"/>
  <c r="AL145"/>
  <c r="AK142"/>
  <c r="AK140"/>
  <c r="AK139"/>
  <c r="AK137"/>
  <c r="AI146"/>
  <c r="P26" i="3" s="1"/>
  <c r="AJ146" i="2"/>
  <c r="Q26" i="3" s="1"/>
  <c r="AE146" i="2"/>
  <c r="X146"/>
  <c r="V146"/>
  <c r="W146"/>
  <c r="T146"/>
  <c r="S146"/>
  <c r="P146"/>
  <c r="Q146"/>
  <c r="N146"/>
  <c r="M146"/>
  <c r="AC132"/>
  <c r="AB132"/>
  <c r="AI132"/>
  <c r="P25" i="3" s="1"/>
  <c r="R25" s="1"/>
  <c r="AK123" i="2"/>
  <c r="AK132" s="1"/>
  <c r="AF132"/>
  <c r="AE132"/>
  <c r="W132"/>
  <c r="V132"/>
  <c r="S132"/>
  <c r="T132"/>
  <c r="Q132"/>
  <c r="K132"/>
  <c r="L124"/>
  <c r="AK113"/>
  <c r="AJ114"/>
  <c r="Q19" i="3" s="1"/>
  <c r="AK114" i="2"/>
  <c r="AI114"/>
  <c r="P19" i="3" s="1"/>
  <c r="AH114" i="2"/>
  <c r="AE114"/>
  <c r="M19" i="3" s="1"/>
  <c r="AC114" i="2"/>
  <c r="K19" i="3" s="1"/>
  <c r="AD114" i="2"/>
  <c r="V114"/>
  <c r="S114"/>
  <c r="Q114"/>
  <c r="N114"/>
  <c r="M114"/>
  <c r="O19" i="3" l="1"/>
  <c r="L19"/>
  <c r="L33"/>
  <c r="AL141" i="2"/>
  <c r="L178"/>
  <c r="O178"/>
  <c r="U132"/>
  <c r="R19" i="3"/>
  <c r="AL177" i="2"/>
  <c r="AL123"/>
  <c r="L114"/>
  <c r="AA140"/>
  <c r="AL140" s="1"/>
  <c r="AA143"/>
  <c r="AL143" s="1"/>
  <c r="AA137"/>
  <c r="AA138"/>
  <c r="AL138" s="1"/>
  <c r="X114"/>
  <c r="U178"/>
  <c r="AA142"/>
  <c r="O33" i="3"/>
  <c r="AA171" i="2"/>
  <c r="AL171" s="1"/>
  <c r="AL139"/>
  <c r="AL174"/>
  <c r="AA136"/>
  <c r="AL136" s="1"/>
  <c r="AA108"/>
  <c r="AL108" s="1"/>
  <c r="AL150"/>
  <c r="U146"/>
  <c r="AA170"/>
  <c r="AL170" s="1"/>
  <c r="O114"/>
  <c r="Z132"/>
  <c r="H25" i="3" s="1"/>
  <c r="AL142" i="2"/>
  <c r="Z146"/>
  <c r="H26" i="3" s="1"/>
  <c r="AA128" i="2"/>
  <c r="AL128" s="1"/>
  <c r="AA144"/>
  <c r="AL144" s="1"/>
  <c r="O146"/>
  <c r="AA149"/>
  <c r="AL149" s="1"/>
  <c r="R132"/>
  <c r="Y114"/>
  <c r="G19" i="3" s="1"/>
  <c r="AA109" i="2"/>
  <c r="X132"/>
  <c r="AA176"/>
  <c r="AL113"/>
  <c r="Y146"/>
  <c r="G26" i="3" s="1"/>
  <c r="I26" s="1"/>
  <c r="AL151" i="2"/>
  <c r="Z178"/>
  <c r="H33" i="3" s="1"/>
  <c r="AL175" i="2"/>
  <c r="AA172"/>
  <c r="AL172" s="1"/>
  <c r="AA125"/>
  <c r="Z114"/>
  <c r="H19" i="3" s="1"/>
  <c r="Y178" i="2"/>
  <c r="G33" i="3" s="1"/>
  <c r="AA168" i="2"/>
  <c r="AL176"/>
  <c r="AL137"/>
  <c r="L132"/>
  <c r="Y132"/>
  <c r="G25" i="3" s="1"/>
  <c r="AA135" i="2"/>
  <c r="AD178"/>
  <c r="AK178"/>
  <c r="AL169"/>
  <c r="X178"/>
  <c r="R26" i="3"/>
  <c r="AK146" i="2"/>
  <c r="AL135" l="1"/>
  <c r="AA146"/>
  <c r="AL125"/>
  <c r="AA132"/>
  <c r="AA114"/>
  <c r="AL109"/>
  <c r="AL168"/>
  <c r="AA178"/>
  <c r="P154"/>
  <c r="Y154" l="1"/>
  <c r="AA154" s="1"/>
  <c r="AL154" s="1"/>
  <c r="R154"/>
  <c r="AI100" l="1"/>
  <c r="AC104"/>
  <c r="AB104"/>
  <c r="AD104" s="1"/>
  <c r="AC103"/>
  <c r="AB103"/>
  <c r="AD103" s="1"/>
  <c r="AC102"/>
  <c r="AD102" s="1"/>
  <c r="AB102"/>
  <c r="AC101"/>
  <c r="AB101"/>
  <c r="AD101" s="1"/>
  <c r="AD100"/>
  <c r="AC100"/>
  <c r="AB100"/>
  <c r="AC99"/>
  <c r="AB99"/>
  <c r="AD99" s="1"/>
  <c r="AJ104"/>
  <c r="AI104"/>
  <c r="AJ103"/>
  <c r="AI103"/>
  <c r="AK103" s="1"/>
  <c r="AJ102"/>
  <c r="AK102" s="1"/>
  <c r="AJ101"/>
  <c r="AK101" s="1"/>
  <c r="AJ100"/>
  <c r="AJ99"/>
  <c r="AK99" s="1"/>
  <c r="AI99"/>
  <c r="AH100"/>
  <c r="AH104"/>
  <c r="AF104"/>
  <c r="AF103"/>
  <c r="AF102"/>
  <c r="AF101"/>
  <c r="AH101" s="1"/>
  <c r="AF100"/>
  <c r="AF99"/>
  <c r="AE104"/>
  <c r="AE103"/>
  <c r="AH103" s="1"/>
  <c r="AE102"/>
  <c r="AH102" s="1"/>
  <c r="AE101"/>
  <c r="AE100"/>
  <c r="AE99"/>
  <c r="AH99" s="1"/>
  <c r="V104"/>
  <c r="X104" s="1"/>
  <c r="V103"/>
  <c r="V102"/>
  <c r="V101"/>
  <c r="V100"/>
  <c r="X100" s="1"/>
  <c r="W104"/>
  <c r="W103"/>
  <c r="W102"/>
  <c r="W101"/>
  <c r="W100"/>
  <c r="S104"/>
  <c r="S103"/>
  <c r="S102"/>
  <c r="S101"/>
  <c r="S100"/>
  <c r="T104"/>
  <c r="U104" s="1"/>
  <c r="T103"/>
  <c r="T102"/>
  <c r="T101"/>
  <c r="T100"/>
  <c r="U100" s="1"/>
  <c r="W99"/>
  <c r="V99"/>
  <c r="T99"/>
  <c r="S99"/>
  <c r="U99" s="1"/>
  <c r="P104"/>
  <c r="P103"/>
  <c r="P102"/>
  <c r="P101"/>
  <c r="P100"/>
  <c r="Q104"/>
  <c r="Q103"/>
  <c r="Q102"/>
  <c r="Q101"/>
  <c r="Q100"/>
  <c r="M104"/>
  <c r="M103"/>
  <c r="M102"/>
  <c r="M101"/>
  <c r="M100"/>
  <c r="N104"/>
  <c r="N103"/>
  <c r="N102"/>
  <c r="N101"/>
  <c r="N100"/>
  <c r="O100" s="1"/>
  <c r="Q99"/>
  <c r="P99"/>
  <c r="N99"/>
  <c r="M99"/>
  <c r="O99" s="1"/>
  <c r="J104"/>
  <c r="Y104" s="1"/>
  <c r="J103"/>
  <c r="J102"/>
  <c r="J101"/>
  <c r="J100"/>
  <c r="Y100" s="1"/>
  <c r="K104"/>
  <c r="K103"/>
  <c r="K102"/>
  <c r="K101"/>
  <c r="Z101" s="1"/>
  <c r="K100"/>
  <c r="K99"/>
  <c r="J99"/>
  <c r="AI93"/>
  <c r="AF95"/>
  <c r="AF94"/>
  <c r="AF93"/>
  <c r="AF92"/>
  <c r="AE95"/>
  <c r="AE94"/>
  <c r="AE93"/>
  <c r="AE92"/>
  <c r="AF91"/>
  <c r="AF89"/>
  <c r="AH89" s="1"/>
  <c r="AF87"/>
  <c r="AF86"/>
  <c r="AF85"/>
  <c r="AE87"/>
  <c r="AH87" s="1"/>
  <c r="AE86"/>
  <c r="AE85"/>
  <c r="AH85" s="1"/>
  <c r="AH90"/>
  <c r="AH91"/>
  <c r="AH95"/>
  <c r="AF88"/>
  <c r="AH88" s="1"/>
  <c r="AJ95"/>
  <c r="AK95" s="1"/>
  <c r="AI95"/>
  <c r="AI94"/>
  <c r="AK94" s="1"/>
  <c r="AJ93"/>
  <c r="AJ92"/>
  <c r="AI92"/>
  <c r="AJ91"/>
  <c r="AJ90"/>
  <c r="AJ89"/>
  <c r="AJ88"/>
  <c r="AI91"/>
  <c r="AI90"/>
  <c r="AK90" s="1"/>
  <c r="AI89"/>
  <c r="AI88"/>
  <c r="AK88" s="1"/>
  <c r="AJ87"/>
  <c r="AI87"/>
  <c r="AK86"/>
  <c r="AK91"/>
  <c r="AJ86"/>
  <c r="AI86"/>
  <c r="AJ85"/>
  <c r="AI85"/>
  <c r="AK85" s="1"/>
  <c r="AC95"/>
  <c r="AB95"/>
  <c r="AD95" s="1"/>
  <c r="AC94"/>
  <c r="AC93"/>
  <c r="AC92"/>
  <c r="AB94"/>
  <c r="AB93"/>
  <c r="AD93" s="1"/>
  <c r="AB92"/>
  <c r="AC91"/>
  <c r="AB91"/>
  <c r="AC90"/>
  <c r="AB90"/>
  <c r="AC89"/>
  <c r="AB89"/>
  <c r="AC88"/>
  <c r="AB88"/>
  <c r="AC87"/>
  <c r="AB87"/>
  <c r="AD87" s="1"/>
  <c r="AC86"/>
  <c r="AD86" s="1"/>
  <c r="AB86"/>
  <c r="AD85"/>
  <c r="AC85"/>
  <c r="AB85"/>
  <c r="V95"/>
  <c r="V94"/>
  <c r="V93"/>
  <c r="V92"/>
  <c r="V91"/>
  <c r="V90"/>
  <c r="V89"/>
  <c r="V88"/>
  <c r="V87"/>
  <c r="V86"/>
  <c r="W95"/>
  <c r="W94"/>
  <c r="W93"/>
  <c r="W92"/>
  <c r="W91"/>
  <c r="W90"/>
  <c r="W89"/>
  <c r="W88"/>
  <c r="W87"/>
  <c r="W86"/>
  <c r="S95"/>
  <c r="S94"/>
  <c r="S93"/>
  <c r="S92"/>
  <c r="S91"/>
  <c r="S90"/>
  <c r="S89"/>
  <c r="S88"/>
  <c r="S87"/>
  <c r="S86"/>
  <c r="T95"/>
  <c r="T94"/>
  <c r="T93"/>
  <c r="T92"/>
  <c r="T91"/>
  <c r="T90"/>
  <c r="T89"/>
  <c r="T88"/>
  <c r="T87"/>
  <c r="T86"/>
  <c r="P94"/>
  <c r="P93"/>
  <c r="P92"/>
  <c r="P91"/>
  <c r="P90"/>
  <c r="P89"/>
  <c r="P88"/>
  <c r="P87"/>
  <c r="P86"/>
  <c r="Q95"/>
  <c r="Q94"/>
  <c r="Q93"/>
  <c r="Q92"/>
  <c r="Q91"/>
  <c r="Q90"/>
  <c r="Q89"/>
  <c r="Q88"/>
  <c r="Q87"/>
  <c r="Q86"/>
  <c r="P95"/>
  <c r="M95"/>
  <c r="M94"/>
  <c r="M93"/>
  <c r="M92"/>
  <c r="M91"/>
  <c r="M90"/>
  <c r="M89"/>
  <c r="M88"/>
  <c r="M87"/>
  <c r="M86"/>
  <c r="N95"/>
  <c r="N94"/>
  <c r="N93"/>
  <c r="N92"/>
  <c r="N91"/>
  <c r="N90"/>
  <c r="N89"/>
  <c r="N88"/>
  <c r="N87"/>
  <c r="N86"/>
  <c r="W85"/>
  <c r="V85"/>
  <c r="T85"/>
  <c r="S85"/>
  <c r="Q85"/>
  <c r="P85"/>
  <c r="N85"/>
  <c r="M85"/>
  <c r="J95"/>
  <c r="J94"/>
  <c r="J93"/>
  <c r="J92"/>
  <c r="J91"/>
  <c r="J90"/>
  <c r="J89"/>
  <c r="J88"/>
  <c r="J87"/>
  <c r="J86"/>
  <c r="K95"/>
  <c r="K94"/>
  <c r="K93"/>
  <c r="K92"/>
  <c r="K91"/>
  <c r="K90"/>
  <c r="K89"/>
  <c r="K88"/>
  <c r="K87"/>
  <c r="K86"/>
  <c r="K85"/>
  <c r="J85"/>
  <c r="AF75"/>
  <c r="AE75"/>
  <c r="AH75" s="1"/>
  <c r="AF74"/>
  <c r="AH74" s="1"/>
  <c r="AE74"/>
  <c r="AF73"/>
  <c r="AE73"/>
  <c r="AF72"/>
  <c r="AH72" s="1"/>
  <c r="AE72"/>
  <c r="AF71"/>
  <c r="AE71"/>
  <c r="AF70"/>
  <c r="AH70" s="1"/>
  <c r="AE70"/>
  <c r="AF69"/>
  <c r="AE69"/>
  <c r="AH69" s="1"/>
  <c r="AF68"/>
  <c r="AE68"/>
  <c r="AF66"/>
  <c r="AE66"/>
  <c r="AF67"/>
  <c r="AE67"/>
  <c r="AF65"/>
  <c r="AE65"/>
  <c r="AH65" s="1"/>
  <c r="AF64"/>
  <c r="AH64" s="1"/>
  <c r="AE64"/>
  <c r="AF63"/>
  <c r="AE63"/>
  <c r="AH63" s="1"/>
  <c r="AF62"/>
  <c r="AH62" s="1"/>
  <c r="AE62"/>
  <c r="AF61"/>
  <c r="AE61"/>
  <c r="AF60"/>
  <c r="AF59"/>
  <c r="AE59"/>
  <c r="AH60"/>
  <c r="AH67"/>
  <c r="AF58"/>
  <c r="AH58" s="1"/>
  <c r="AF57"/>
  <c r="AF56"/>
  <c r="AF55"/>
  <c r="AF54"/>
  <c r="AH54" s="1"/>
  <c r="AF53"/>
  <c r="AF52"/>
  <c r="AF51"/>
  <c r="AF50"/>
  <c r="AH50" s="1"/>
  <c r="AF49"/>
  <c r="AF48"/>
  <c r="AF47"/>
  <c r="AF46"/>
  <c r="AH46" s="1"/>
  <c r="AF45"/>
  <c r="AE58"/>
  <c r="AE57"/>
  <c r="AH57" s="1"/>
  <c r="AE56"/>
  <c r="AH56" s="1"/>
  <c r="AE55"/>
  <c r="AH55" s="1"/>
  <c r="AE54"/>
  <c r="AE53"/>
  <c r="AH53" s="1"/>
  <c r="AE52"/>
  <c r="AH52" s="1"/>
  <c r="AE51"/>
  <c r="AH51" s="1"/>
  <c r="AE50"/>
  <c r="AE49"/>
  <c r="AH49" s="1"/>
  <c r="AE48"/>
  <c r="AH48" s="1"/>
  <c r="AE47"/>
  <c r="AH47" s="1"/>
  <c r="AE46"/>
  <c r="AE45"/>
  <c r="AH45" s="1"/>
  <c r="AJ75"/>
  <c r="AK75" s="1"/>
  <c r="AJ74"/>
  <c r="AI75"/>
  <c r="AI74"/>
  <c r="AK74" s="1"/>
  <c r="AJ73"/>
  <c r="AK73" s="1"/>
  <c r="AI73"/>
  <c r="AJ72"/>
  <c r="AI72"/>
  <c r="AJ71"/>
  <c r="AI71"/>
  <c r="AK71" s="1"/>
  <c r="AJ70"/>
  <c r="AK70" s="1"/>
  <c r="AI70"/>
  <c r="AJ69"/>
  <c r="AI69"/>
  <c r="AJ68"/>
  <c r="AK68" s="1"/>
  <c r="AI68"/>
  <c r="AJ67"/>
  <c r="AI67"/>
  <c r="AJ66"/>
  <c r="AK66" s="1"/>
  <c r="AI66"/>
  <c r="AJ65"/>
  <c r="AI65"/>
  <c r="AK65" s="1"/>
  <c r="AJ64"/>
  <c r="AK64"/>
  <c r="AI64"/>
  <c r="AJ63"/>
  <c r="AI63"/>
  <c r="AK63" s="1"/>
  <c r="AJ62"/>
  <c r="AI62"/>
  <c r="AK62" s="1"/>
  <c r="AJ61"/>
  <c r="AK61" s="1"/>
  <c r="AI61"/>
  <c r="AJ60"/>
  <c r="AK60"/>
  <c r="AI60"/>
  <c r="AJ59"/>
  <c r="AI59"/>
  <c r="AJ58"/>
  <c r="AK58" s="1"/>
  <c r="AI58"/>
  <c r="AJ57"/>
  <c r="AI57"/>
  <c r="AJ56"/>
  <c r="AK56" s="1"/>
  <c r="AI56"/>
  <c r="AJ55"/>
  <c r="AI55"/>
  <c r="AK55" s="1"/>
  <c r="AJ54"/>
  <c r="AJ53"/>
  <c r="AJ52"/>
  <c r="AJ51"/>
  <c r="AI54"/>
  <c r="AI53"/>
  <c r="AI52"/>
  <c r="AI51"/>
  <c r="AK52"/>
  <c r="AK53"/>
  <c r="AJ50"/>
  <c r="AI50"/>
  <c r="AI49"/>
  <c r="AK49" s="1"/>
  <c r="AJ49"/>
  <c r="AJ48"/>
  <c r="AI48"/>
  <c r="AJ47"/>
  <c r="AK47" s="1"/>
  <c r="AI47"/>
  <c r="AJ46"/>
  <c r="AI45"/>
  <c r="AI46"/>
  <c r="AK45"/>
  <c r="AJ45"/>
  <c r="AC75"/>
  <c r="AB75"/>
  <c r="AC74"/>
  <c r="AB74"/>
  <c r="AC73"/>
  <c r="AB73"/>
  <c r="AC72"/>
  <c r="AB72"/>
  <c r="AC71"/>
  <c r="AD71" s="1"/>
  <c r="AB71"/>
  <c r="AC70"/>
  <c r="AB70"/>
  <c r="AC69"/>
  <c r="AB69"/>
  <c r="AC68"/>
  <c r="AB68"/>
  <c r="AC67"/>
  <c r="AB67"/>
  <c r="AC66"/>
  <c r="AB66"/>
  <c r="AC65"/>
  <c r="AD65" s="1"/>
  <c r="AB65"/>
  <c r="AC64"/>
  <c r="AD64" s="1"/>
  <c r="AB64"/>
  <c r="AC63"/>
  <c r="AB63"/>
  <c r="AC62"/>
  <c r="AB62"/>
  <c r="AC61"/>
  <c r="AB61"/>
  <c r="AC60"/>
  <c r="AB60"/>
  <c r="AC59"/>
  <c r="AB59"/>
  <c r="AC58"/>
  <c r="AB58"/>
  <c r="AD58" s="1"/>
  <c r="AC57"/>
  <c r="AB57"/>
  <c r="AC56"/>
  <c r="AB56"/>
  <c r="AC55"/>
  <c r="AB55"/>
  <c r="AC54"/>
  <c r="AD54" s="1"/>
  <c r="AB54"/>
  <c r="AC53"/>
  <c r="AB53"/>
  <c r="AC52"/>
  <c r="AB52"/>
  <c r="AC51"/>
  <c r="AD51" s="1"/>
  <c r="AB51"/>
  <c r="AC50"/>
  <c r="AB50"/>
  <c r="AD50" s="1"/>
  <c r="AC49"/>
  <c r="AB49"/>
  <c r="AC48"/>
  <c r="AD48" s="1"/>
  <c r="AB48"/>
  <c r="AC47"/>
  <c r="AD47" s="1"/>
  <c r="AB47"/>
  <c r="AC46"/>
  <c r="AB46"/>
  <c r="AD46" s="1"/>
  <c r="AD52"/>
  <c r="AD55"/>
  <c r="AD63"/>
  <c r="AD67"/>
  <c r="AD69"/>
  <c r="AD72"/>
  <c r="AD73"/>
  <c r="AD75"/>
  <c r="AC45"/>
  <c r="AB45"/>
  <c r="AD45" s="1"/>
  <c r="V64"/>
  <c r="V72"/>
  <c r="V71"/>
  <c r="V70"/>
  <c r="V69"/>
  <c r="V68"/>
  <c r="V73"/>
  <c r="X73" s="1"/>
  <c r="W75"/>
  <c r="W74"/>
  <c r="W73"/>
  <c r="W72"/>
  <c r="W71"/>
  <c r="W70"/>
  <c r="W69"/>
  <c r="W68"/>
  <c r="W67"/>
  <c r="X67" s="1"/>
  <c r="W66"/>
  <c r="W65"/>
  <c r="W64"/>
  <c r="W63"/>
  <c r="W62"/>
  <c r="W61"/>
  <c r="W60"/>
  <c r="W59"/>
  <c r="W58"/>
  <c r="W57"/>
  <c r="W56"/>
  <c r="X56" s="1"/>
  <c r="W55"/>
  <c r="W54"/>
  <c r="W53"/>
  <c r="W52"/>
  <c r="W51"/>
  <c r="W50"/>
  <c r="W49"/>
  <c r="W48"/>
  <c r="W47"/>
  <c r="W46"/>
  <c r="V67"/>
  <c r="V66"/>
  <c r="V65"/>
  <c r="X65" s="1"/>
  <c r="V74"/>
  <c r="V75"/>
  <c r="V63"/>
  <c r="V62"/>
  <c r="V61"/>
  <c r="X61" s="1"/>
  <c r="V60"/>
  <c r="V59"/>
  <c r="V58"/>
  <c r="V57"/>
  <c r="V56"/>
  <c r="V55"/>
  <c r="V54"/>
  <c r="V53"/>
  <c r="V52"/>
  <c r="V51"/>
  <c r="V50"/>
  <c r="V49"/>
  <c r="X49" s="1"/>
  <c r="V48"/>
  <c r="V47"/>
  <c r="V46"/>
  <c r="S75"/>
  <c r="S74"/>
  <c r="S73"/>
  <c r="S72"/>
  <c r="S71"/>
  <c r="S70"/>
  <c r="S69"/>
  <c r="S68"/>
  <c r="S67"/>
  <c r="S66"/>
  <c r="S65"/>
  <c r="S64"/>
  <c r="S63"/>
  <c r="S62"/>
  <c r="S61"/>
  <c r="S60"/>
  <c r="S59"/>
  <c r="S58"/>
  <c r="S57"/>
  <c r="S56"/>
  <c r="S55"/>
  <c r="S54"/>
  <c r="S53"/>
  <c r="S52"/>
  <c r="S51"/>
  <c r="S50"/>
  <c r="S49"/>
  <c r="S48"/>
  <c r="S47"/>
  <c r="S46"/>
  <c r="T75"/>
  <c r="T74"/>
  <c r="T73"/>
  <c r="T72"/>
  <c r="T71"/>
  <c r="T70"/>
  <c r="T69"/>
  <c r="T68"/>
  <c r="U68" s="1"/>
  <c r="T67"/>
  <c r="T66"/>
  <c r="T65"/>
  <c r="T64"/>
  <c r="T63"/>
  <c r="T62"/>
  <c r="T61"/>
  <c r="T60"/>
  <c r="T59"/>
  <c r="T58"/>
  <c r="T57"/>
  <c r="T56"/>
  <c r="T55"/>
  <c r="T54"/>
  <c r="T53"/>
  <c r="T52"/>
  <c r="T51"/>
  <c r="T50"/>
  <c r="T49"/>
  <c r="T48"/>
  <c r="T47"/>
  <c r="T46"/>
  <c r="W45"/>
  <c r="V45"/>
  <c r="T45"/>
  <c r="U45" s="1"/>
  <c r="S45"/>
  <c r="P75"/>
  <c r="P74"/>
  <c r="P73"/>
  <c r="P72"/>
  <c r="P71"/>
  <c r="P70"/>
  <c r="R70" s="1"/>
  <c r="P69"/>
  <c r="P68"/>
  <c r="P67"/>
  <c r="P66"/>
  <c r="P65"/>
  <c r="P64"/>
  <c r="P63"/>
  <c r="P62"/>
  <c r="P61"/>
  <c r="P60"/>
  <c r="P59"/>
  <c r="P58"/>
  <c r="R58" s="1"/>
  <c r="P57"/>
  <c r="P56"/>
  <c r="P55"/>
  <c r="P54"/>
  <c r="P53"/>
  <c r="P52"/>
  <c r="P51"/>
  <c r="P50"/>
  <c r="P49"/>
  <c r="P48"/>
  <c r="P47"/>
  <c r="P46"/>
  <c r="Q75"/>
  <c r="Q74"/>
  <c r="Q73"/>
  <c r="Q72"/>
  <c r="R72" s="1"/>
  <c r="Q71"/>
  <c r="Q70"/>
  <c r="Q69"/>
  <c r="Q68"/>
  <c r="R68" s="1"/>
  <c r="Q67"/>
  <c r="Q66"/>
  <c r="Q65"/>
  <c r="Q64"/>
  <c r="Q63"/>
  <c r="Q62"/>
  <c r="Q61"/>
  <c r="Q60"/>
  <c r="Q59"/>
  <c r="Q58"/>
  <c r="Q57"/>
  <c r="Q56"/>
  <c r="Q55"/>
  <c r="Q54"/>
  <c r="Q53"/>
  <c r="Q52"/>
  <c r="Q51"/>
  <c r="Q50"/>
  <c r="Q49"/>
  <c r="Q48"/>
  <c r="R48" s="1"/>
  <c r="Q47"/>
  <c r="Q46"/>
  <c r="R52"/>
  <c r="R54"/>
  <c r="Q45"/>
  <c r="P45"/>
  <c r="M75"/>
  <c r="M74"/>
  <c r="M73"/>
  <c r="M72"/>
  <c r="M71"/>
  <c r="M70"/>
  <c r="M69"/>
  <c r="M68"/>
  <c r="M67"/>
  <c r="M66"/>
  <c r="M65"/>
  <c r="M64"/>
  <c r="M63"/>
  <c r="M62"/>
  <c r="M61"/>
  <c r="M60"/>
  <c r="M59"/>
  <c r="M58"/>
  <c r="M57"/>
  <c r="M56"/>
  <c r="M55"/>
  <c r="M54"/>
  <c r="M53"/>
  <c r="M52"/>
  <c r="M51"/>
  <c r="M50"/>
  <c r="M49"/>
  <c r="M48"/>
  <c r="M47"/>
  <c r="M46"/>
  <c r="N75"/>
  <c r="N74"/>
  <c r="N73"/>
  <c r="N72"/>
  <c r="N71"/>
  <c r="N70"/>
  <c r="N69"/>
  <c r="N68"/>
  <c r="N67"/>
  <c r="N66"/>
  <c r="N65"/>
  <c r="N64"/>
  <c r="N63"/>
  <c r="N62"/>
  <c r="N61"/>
  <c r="N60"/>
  <c r="N59"/>
  <c r="N58"/>
  <c r="N57"/>
  <c r="N56"/>
  <c r="N55"/>
  <c r="N54"/>
  <c r="N53"/>
  <c r="N52"/>
  <c r="N51"/>
  <c r="N50"/>
  <c r="N49"/>
  <c r="N48"/>
  <c r="N47"/>
  <c r="N46"/>
  <c r="N45"/>
  <c r="O45" s="1"/>
  <c r="M45"/>
  <c r="J75"/>
  <c r="J74"/>
  <c r="J73"/>
  <c r="J72"/>
  <c r="J71"/>
  <c r="J70"/>
  <c r="J69"/>
  <c r="J68"/>
  <c r="J67"/>
  <c r="J66"/>
  <c r="J65"/>
  <c r="J64"/>
  <c r="J63"/>
  <c r="J62"/>
  <c r="J61"/>
  <c r="J60"/>
  <c r="J59"/>
  <c r="J58"/>
  <c r="J57"/>
  <c r="J56"/>
  <c r="J55"/>
  <c r="J54"/>
  <c r="J53"/>
  <c r="J52"/>
  <c r="J51"/>
  <c r="J50"/>
  <c r="J49"/>
  <c r="J48"/>
  <c r="J47"/>
  <c r="J46"/>
  <c r="K75"/>
  <c r="K74"/>
  <c r="K73"/>
  <c r="K72"/>
  <c r="K71"/>
  <c r="K70"/>
  <c r="K69"/>
  <c r="K68"/>
  <c r="K67"/>
  <c r="K66"/>
  <c r="K65"/>
  <c r="K64"/>
  <c r="K63"/>
  <c r="K62"/>
  <c r="K61"/>
  <c r="K60"/>
  <c r="K59"/>
  <c r="K58"/>
  <c r="K57"/>
  <c r="K56"/>
  <c r="K55"/>
  <c r="K54"/>
  <c r="K53"/>
  <c r="K52"/>
  <c r="K51"/>
  <c r="K50"/>
  <c r="K49"/>
  <c r="K48"/>
  <c r="K47"/>
  <c r="K46"/>
  <c r="K45"/>
  <c r="J45"/>
  <c r="AG42"/>
  <c r="AJ41"/>
  <c r="AI41"/>
  <c r="AJ40"/>
  <c r="AI40"/>
  <c r="AJ39"/>
  <c r="AI39"/>
  <c r="AJ38"/>
  <c r="AK38" s="1"/>
  <c r="AI38"/>
  <c r="AJ37"/>
  <c r="AI37"/>
  <c r="AJ36"/>
  <c r="AI36"/>
  <c r="AJ35"/>
  <c r="AI35"/>
  <c r="AJ34"/>
  <c r="AI34"/>
  <c r="AJ33"/>
  <c r="AK33" s="1"/>
  <c r="AI33"/>
  <c r="AJ32"/>
  <c r="AI32"/>
  <c r="AK32" s="1"/>
  <c r="AJ30"/>
  <c r="AJ31"/>
  <c r="AI31"/>
  <c r="AK31" s="1"/>
  <c r="AK30"/>
  <c r="AI30"/>
  <c r="AJ29"/>
  <c r="AI29"/>
  <c r="AJ28"/>
  <c r="AI28"/>
  <c r="AJ27"/>
  <c r="AI27"/>
  <c r="AJ26"/>
  <c r="AK26" s="1"/>
  <c r="AI26"/>
  <c r="AK27"/>
  <c r="AK28"/>
  <c r="AK34"/>
  <c r="AK35"/>
  <c r="AK41"/>
  <c r="AJ25"/>
  <c r="AJ42" s="1"/>
  <c r="Q10" i="3" s="1"/>
  <c r="AI25" i="2"/>
  <c r="AI42" s="1"/>
  <c r="P10" i="3" s="1"/>
  <c r="AC41" i="2"/>
  <c r="AB41"/>
  <c r="AC40"/>
  <c r="AB40"/>
  <c r="AC39"/>
  <c r="AB39"/>
  <c r="AD39" s="1"/>
  <c r="AC38"/>
  <c r="AD38" s="1"/>
  <c r="AB38"/>
  <c r="AC37"/>
  <c r="AB37"/>
  <c r="AB42" s="1"/>
  <c r="J10" i="3" s="1"/>
  <c r="AC36" i="2"/>
  <c r="AB36"/>
  <c r="AD36" s="1"/>
  <c r="AC35"/>
  <c r="AD35" s="1"/>
  <c r="AB35"/>
  <c r="AC34"/>
  <c r="AB34"/>
  <c r="AC33"/>
  <c r="AB33"/>
  <c r="AC32"/>
  <c r="AB32"/>
  <c r="AC31"/>
  <c r="AD31" s="1"/>
  <c r="AB31"/>
  <c r="AC30"/>
  <c r="AD30" s="1"/>
  <c r="AB30"/>
  <c r="AC29"/>
  <c r="AB29"/>
  <c r="AC28"/>
  <c r="AB28"/>
  <c r="AC27"/>
  <c r="AB27"/>
  <c r="AC26"/>
  <c r="AB26"/>
  <c r="AC25"/>
  <c r="AC42" s="1"/>
  <c r="K10" i="3" s="1"/>
  <c r="AB25" i="2"/>
  <c r="AF40"/>
  <c r="AF39"/>
  <c r="AF38"/>
  <c r="AF37"/>
  <c r="AH37" s="1"/>
  <c r="AF36"/>
  <c r="AF35"/>
  <c r="AH35" s="1"/>
  <c r="AF34"/>
  <c r="AF33"/>
  <c r="AH33" s="1"/>
  <c r="AF31"/>
  <c r="AF29"/>
  <c r="AF28"/>
  <c r="AH28" s="1"/>
  <c r="AF27"/>
  <c r="AF26"/>
  <c r="AF25"/>
  <c r="AE40"/>
  <c r="AE39"/>
  <c r="AH39" s="1"/>
  <c r="AE38"/>
  <c r="AE37"/>
  <c r="AE36"/>
  <c r="AH36" s="1"/>
  <c r="AE34"/>
  <c r="AE33"/>
  <c r="AE32"/>
  <c r="AE31"/>
  <c r="AE30"/>
  <c r="AH30" s="1"/>
  <c r="AE29"/>
  <c r="AE28"/>
  <c r="AE27"/>
  <c r="AH27" s="1"/>
  <c r="AE26"/>
  <c r="AH26" s="1"/>
  <c r="AE25"/>
  <c r="AE42" s="1"/>
  <c r="M10" i="3" s="1"/>
  <c r="AH41" i="2"/>
  <c r="AH29"/>
  <c r="AH32"/>
  <c r="AH40"/>
  <c r="AF32"/>
  <c r="AF30"/>
  <c r="V41"/>
  <c r="V40"/>
  <c r="V39"/>
  <c r="V38"/>
  <c r="V37"/>
  <c r="V36"/>
  <c r="V35"/>
  <c r="V34"/>
  <c r="V33"/>
  <c r="V32"/>
  <c r="V31"/>
  <c r="V30"/>
  <c r="V29"/>
  <c r="V28"/>
  <c r="V27"/>
  <c r="V26"/>
  <c r="W41"/>
  <c r="W40"/>
  <c r="X40" s="1"/>
  <c r="W39"/>
  <c r="X39" s="1"/>
  <c r="W38"/>
  <c r="X38" s="1"/>
  <c r="W37"/>
  <c r="X37" s="1"/>
  <c r="W36"/>
  <c r="W35"/>
  <c r="X35" s="1"/>
  <c r="W34"/>
  <c r="W33"/>
  <c r="W32"/>
  <c r="X32" s="1"/>
  <c r="W31"/>
  <c r="W30"/>
  <c r="X30" s="1"/>
  <c r="W29"/>
  <c r="X29" s="1"/>
  <c r="W28"/>
  <c r="X28" s="1"/>
  <c r="W27"/>
  <c r="W26"/>
  <c r="V25"/>
  <c r="S37"/>
  <c r="P41"/>
  <c r="S41"/>
  <c r="S40"/>
  <c r="S39"/>
  <c r="S38"/>
  <c r="S36"/>
  <c r="S35"/>
  <c r="S34"/>
  <c r="S33"/>
  <c r="U33" s="1"/>
  <c r="S32"/>
  <c r="S31"/>
  <c r="S30"/>
  <c r="S29"/>
  <c r="S28"/>
  <c r="S27"/>
  <c r="S26"/>
  <c r="T41"/>
  <c r="T40"/>
  <c r="T39"/>
  <c r="T38"/>
  <c r="T37"/>
  <c r="T36"/>
  <c r="T35"/>
  <c r="T34"/>
  <c r="T33"/>
  <c r="T32"/>
  <c r="T31"/>
  <c r="U31" s="1"/>
  <c r="T30"/>
  <c r="U30" s="1"/>
  <c r="T29"/>
  <c r="T28"/>
  <c r="U28" s="1"/>
  <c r="T27"/>
  <c r="U27" s="1"/>
  <c r="T26"/>
  <c r="U26" s="1"/>
  <c r="U29"/>
  <c r="U32"/>
  <c r="U34"/>
  <c r="P40"/>
  <c r="P39"/>
  <c r="P38"/>
  <c r="P37"/>
  <c r="R37" s="1"/>
  <c r="P36"/>
  <c r="P35"/>
  <c r="P34"/>
  <c r="P33"/>
  <c r="P32"/>
  <c r="P31"/>
  <c r="P30"/>
  <c r="P29"/>
  <c r="P28"/>
  <c r="P27"/>
  <c r="P26"/>
  <c r="Q41"/>
  <c r="R41" s="1"/>
  <c r="Q40"/>
  <c r="R40" s="1"/>
  <c r="Q39"/>
  <c r="Q38"/>
  <c r="R38" s="1"/>
  <c r="Q37"/>
  <c r="Q36"/>
  <c r="Q35"/>
  <c r="Q34"/>
  <c r="Q33"/>
  <c r="Q32"/>
  <c r="Q31"/>
  <c r="R31" s="1"/>
  <c r="Q30"/>
  <c r="Q29"/>
  <c r="Q28"/>
  <c r="R28" s="1"/>
  <c r="Q27"/>
  <c r="R27" s="1"/>
  <c r="Q26"/>
  <c r="R32"/>
  <c r="N41"/>
  <c r="N40"/>
  <c r="N39"/>
  <c r="N38"/>
  <c r="N37"/>
  <c r="N36"/>
  <c r="N35"/>
  <c r="N34"/>
  <c r="N33"/>
  <c r="N32"/>
  <c r="N31"/>
  <c r="N30"/>
  <c r="N29"/>
  <c r="N28"/>
  <c r="N27"/>
  <c r="N26"/>
  <c r="M41"/>
  <c r="M40"/>
  <c r="M39"/>
  <c r="O39" s="1"/>
  <c r="M38"/>
  <c r="O38" s="1"/>
  <c r="M37"/>
  <c r="M36"/>
  <c r="O36" s="1"/>
  <c r="M35"/>
  <c r="O35" s="1"/>
  <c r="M34"/>
  <c r="M33"/>
  <c r="O33" s="1"/>
  <c r="M32"/>
  <c r="O32" s="1"/>
  <c r="M31"/>
  <c r="O31" s="1"/>
  <c r="M30"/>
  <c r="O30" s="1"/>
  <c r="M29"/>
  <c r="O29" s="1"/>
  <c r="M28"/>
  <c r="M27"/>
  <c r="O27" s="1"/>
  <c r="M26"/>
  <c r="O26" s="1"/>
  <c r="O28"/>
  <c r="O34"/>
  <c r="O37"/>
  <c r="O40"/>
  <c r="K41"/>
  <c r="K40"/>
  <c r="Z40" s="1"/>
  <c r="K39"/>
  <c r="K38"/>
  <c r="K37"/>
  <c r="K36"/>
  <c r="Z36" s="1"/>
  <c r="K35"/>
  <c r="K34"/>
  <c r="K33"/>
  <c r="K32"/>
  <c r="Z32" s="1"/>
  <c r="K31"/>
  <c r="K30"/>
  <c r="K29"/>
  <c r="K28"/>
  <c r="K27"/>
  <c r="K26"/>
  <c r="J41"/>
  <c r="J40"/>
  <c r="Y40" s="1"/>
  <c r="AA40" s="1"/>
  <c r="J39"/>
  <c r="L39" s="1"/>
  <c r="J38"/>
  <c r="L38" s="1"/>
  <c r="J37"/>
  <c r="L37" s="1"/>
  <c r="J36"/>
  <c r="Y36" s="1"/>
  <c r="AA36" s="1"/>
  <c r="J35"/>
  <c r="J34"/>
  <c r="L34" s="1"/>
  <c r="J33"/>
  <c r="J32"/>
  <c r="L32" s="1"/>
  <c r="J31"/>
  <c r="J30"/>
  <c r="L30" s="1"/>
  <c r="J29"/>
  <c r="L29" s="1"/>
  <c r="J28"/>
  <c r="Y28" s="1"/>
  <c r="J27"/>
  <c r="J26"/>
  <c r="L26" s="1"/>
  <c r="L41"/>
  <c r="W25"/>
  <c r="T25"/>
  <c r="S25"/>
  <c r="Q25"/>
  <c r="P25"/>
  <c r="N25"/>
  <c r="M25"/>
  <c r="K25"/>
  <c r="J25"/>
  <c r="AH11"/>
  <c r="AH13"/>
  <c r="AH15"/>
  <c r="AH17"/>
  <c r="AH19"/>
  <c r="AH21"/>
  <c r="AF21"/>
  <c r="AF20"/>
  <c r="AF19"/>
  <c r="AF18"/>
  <c r="AF17"/>
  <c r="AF16"/>
  <c r="AF15"/>
  <c r="AF14"/>
  <c r="AF13"/>
  <c r="AF12"/>
  <c r="AF11"/>
  <c r="AF10"/>
  <c r="AE21"/>
  <c r="AE20"/>
  <c r="AH20" s="1"/>
  <c r="AE19"/>
  <c r="AE18"/>
  <c r="AH18" s="1"/>
  <c r="AE17"/>
  <c r="AE16"/>
  <c r="AH16" s="1"/>
  <c r="AE15"/>
  <c r="AE14"/>
  <c r="AH14" s="1"/>
  <c r="AE13"/>
  <c r="AE12"/>
  <c r="AH12" s="1"/>
  <c r="AE11"/>
  <c r="AE10"/>
  <c r="AJ21"/>
  <c r="AI21"/>
  <c r="AI19"/>
  <c r="AJ19"/>
  <c r="AJ20"/>
  <c r="AI20"/>
  <c r="AJ18"/>
  <c r="AI18"/>
  <c r="AK18" s="1"/>
  <c r="AJ17"/>
  <c r="AI17"/>
  <c r="AK17" s="1"/>
  <c r="AJ16"/>
  <c r="AI16"/>
  <c r="AK16" s="1"/>
  <c r="AJ15"/>
  <c r="AI15"/>
  <c r="AI14"/>
  <c r="AJ13"/>
  <c r="AI13"/>
  <c r="AK13" s="1"/>
  <c r="AJ12"/>
  <c r="AI12"/>
  <c r="AJ11"/>
  <c r="AI11"/>
  <c r="AJ10"/>
  <c r="AI10"/>
  <c r="AC21"/>
  <c r="AD21" s="1"/>
  <c r="AB21"/>
  <c r="AC20"/>
  <c r="AB20"/>
  <c r="AC19"/>
  <c r="AB19"/>
  <c r="AC18"/>
  <c r="AB18"/>
  <c r="AC17"/>
  <c r="AB17"/>
  <c r="AC16"/>
  <c r="AB16"/>
  <c r="AC15"/>
  <c r="AB15"/>
  <c r="AD15" s="1"/>
  <c r="AC14"/>
  <c r="AB14"/>
  <c r="AC13"/>
  <c r="AD13" s="1"/>
  <c r="AB13"/>
  <c r="AC12"/>
  <c r="AB12"/>
  <c r="AC11"/>
  <c r="AD11" s="1"/>
  <c r="AC10"/>
  <c r="AB10"/>
  <c r="AK19"/>
  <c r="AK15"/>
  <c r="AD14"/>
  <c r="AD19"/>
  <c r="AK10"/>
  <c r="V11"/>
  <c r="V12"/>
  <c r="V13"/>
  <c r="V14"/>
  <c r="V15"/>
  <c r="V16"/>
  <c r="X16" s="1"/>
  <c r="V17"/>
  <c r="V18"/>
  <c r="V19"/>
  <c r="V20"/>
  <c r="X20" s="1"/>
  <c r="V21"/>
  <c r="W21"/>
  <c r="W20"/>
  <c r="W19"/>
  <c r="W18"/>
  <c r="W17"/>
  <c r="W16"/>
  <c r="W15"/>
  <c r="W14"/>
  <c r="W13"/>
  <c r="W12"/>
  <c r="W11"/>
  <c r="W10"/>
  <c r="V10"/>
  <c r="T11"/>
  <c r="T12"/>
  <c r="T13"/>
  <c r="T14"/>
  <c r="T15"/>
  <c r="T16"/>
  <c r="T17"/>
  <c r="T18"/>
  <c r="T19"/>
  <c r="T20"/>
  <c r="T21"/>
  <c r="S11"/>
  <c r="S12"/>
  <c r="S13"/>
  <c r="S15"/>
  <c r="U15" s="1"/>
  <c r="S14"/>
  <c r="U14" s="1"/>
  <c r="S16"/>
  <c r="S17"/>
  <c r="S18"/>
  <c r="U18" s="1"/>
  <c r="S19"/>
  <c r="S20"/>
  <c r="S21"/>
  <c r="T10"/>
  <c r="S10"/>
  <c r="P12"/>
  <c r="P13"/>
  <c r="P14"/>
  <c r="P15"/>
  <c r="P16"/>
  <c r="P17"/>
  <c r="P18"/>
  <c r="P19"/>
  <c r="P20"/>
  <c r="P21"/>
  <c r="Q21"/>
  <c r="Q20"/>
  <c r="Q19"/>
  <c r="Q18"/>
  <c r="Q17"/>
  <c r="Q16"/>
  <c r="Q15"/>
  <c r="Q14"/>
  <c r="Q13"/>
  <c r="Q12"/>
  <c r="Q11"/>
  <c r="P11"/>
  <c r="Q10"/>
  <c r="P10"/>
  <c r="M17"/>
  <c r="M16"/>
  <c r="M18"/>
  <c r="M19"/>
  <c r="M20"/>
  <c r="M21"/>
  <c r="O21" s="1"/>
  <c r="N21"/>
  <c r="N20"/>
  <c r="N19"/>
  <c r="N18"/>
  <c r="O18" s="1"/>
  <c r="N17"/>
  <c r="N16"/>
  <c r="N15"/>
  <c r="M15"/>
  <c r="N14"/>
  <c r="M14"/>
  <c r="N13"/>
  <c r="M13"/>
  <c r="N12"/>
  <c r="M12"/>
  <c r="AF42" l="1"/>
  <c r="N10" i="3" s="1"/>
  <c r="O10" s="1"/>
  <c r="AK89" i="2"/>
  <c r="AH93"/>
  <c r="U21"/>
  <c r="U13"/>
  <c r="AD17"/>
  <c r="AD56"/>
  <c r="AD74"/>
  <c r="AK48"/>
  <c r="AD94"/>
  <c r="AH92"/>
  <c r="O12"/>
  <c r="U10"/>
  <c r="AK21"/>
  <c r="AH31"/>
  <c r="AD34"/>
  <c r="AK37"/>
  <c r="Z49"/>
  <c r="Z61"/>
  <c r="AA61" s="1"/>
  <c r="AL61" s="1"/>
  <c r="O51"/>
  <c r="O67"/>
  <c r="U49"/>
  <c r="U53"/>
  <c r="AK59"/>
  <c r="AH59"/>
  <c r="AH68"/>
  <c r="L86"/>
  <c r="Z90"/>
  <c r="Z94"/>
  <c r="Y88"/>
  <c r="AA88" s="1"/>
  <c r="AL88" s="1"/>
  <c r="U85"/>
  <c r="R95"/>
  <c r="R91"/>
  <c r="U88"/>
  <c r="U92"/>
  <c r="X88"/>
  <c r="X92"/>
  <c r="AD88"/>
  <c r="Z100"/>
  <c r="AA100" s="1"/>
  <c r="AL100" s="1"/>
  <c r="L103"/>
  <c r="R100"/>
  <c r="R103"/>
  <c r="AK104"/>
  <c r="AK100"/>
  <c r="AK51"/>
  <c r="AK36"/>
  <c r="AK40"/>
  <c r="X45"/>
  <c r="AD66"/>
  <c r="AD70"/>
  <c r="AK50"/>
  <c r="AK54"/>
  <c r="AK92"/>
  <c r="O14"/>
  <c r="R10"/>
  <c r="R20"/>
  <c r="U16"/>
  <c r="X15"/>
  <c r="AD12"/>
  <c r="AD18"/>
  <c r="U39"/>
  <c r="AH25"/>
  <c r="AD37"/>
  <c r="AK25"/>
  <c r="Y45"/>
  <c r="Z52"/>
  <c r="L72"/>
  <c r="U46"/>
  <c r="U54"/>
  <c r="U62"/>
  <c r="U70"/>
  <c r="AD49"/>
  <c r="AD57"/>
  <c r="AK57"/>
  <c r="AK72"/>
  <c r="AH61"/>
  <c r="AH66"/>
  <c r="L85"/>
  <c r="L95"/>
  <c r="O87"/>
  <c r="O91"/>
  <c r="O95"/>
  <c r="R86"/>
  <c r="R90"/>
  <c r="X89"/>
  <c r="X93"/>
  <c r="AD91"/>
  <c r="AD92"/>
  <c r="AK87"/>
  <c r="AH94"/>
  <c r="Z99"/>
  <c r="Z104"/>
  <c r="AA104" s="1"/>
  <c r="U19"/>
  <c r="X10"/>
  <c r="X14"/>
  <c r="X17"/>
  <c r="L25"/>
  <c r="R25"/>
  <c r="Y27"/>
  <c r="Y31"/>
  <c r="Y35"/>
  <c r="Y39"/>
  <c r="Z31"/>
  <c r="Z39"/>
  <c r="U38"/>
  <c r="O54"/>
  <c r="R45"/>
  <c r="X66"/>
  <c r="Y91"/>
  <c r="R85"/>
  <c r="Z89"/>
  <c r="Z93"/>
  <c r="R94"/>
  <c r="X87"/>
  <c r="X91"/>
  <c r="X95"/>
  <c r="L102"/>
  <c r="O104"/>
  <c r="R102"/>
  <c r="X102"/>
  <c r="O19"/>
  <c r="R33"/>
  <c r="Z45"/>
  <c r="AA45" s="1"/>
  <c r="L53"/>
  <c r="Y51"/>
  <c r="Y59"/>
  <c r="AA59" s="1"/>
  <c r="Y67"/>
  <c r="L71"/>
  <c r="R61"/>
  <c r="R65"/>
  <c r="R59"/>
  <c r="R63"/>
  <c r="R67"/>
  <c r="R75"/>
  <c r="U57"/>
  <c r="U61"/>
  <c r="U69"/>
  <c r="U73"/>
  <c r="L94"/>
  <c r="O86"/>
  <c r="O90"/>
  <c r="O94"/>
  <c r="R87"/>
  <c r="R89"/>
  <c r="R93"/>
  <c r="O103"/>
  <c r="U103"/>
  <c r="X101"/>
  <c r="R16"/>
  <c r="R12"/>
  <c r="U25"/>
  <c r="R36"/>
  <c r="S42"/>
  <c r="U36"/>
  <c r="U41"/>
  <c r="U60"/>
  <c r="O102"/>
  <c r="R104"/>
  <c r="U102"/>
  <c r="X33"/>
  <c r="N42"/>
  <c r="Y37"/>
  <c r="Z29"/>
  <c r="Z37"/>
  <c r="Z68"/>
  <c r="Y50"/>
  <c r="Z47"/>
  <c r="U48"/>
  <c r="U56"/>
  <c r="Y68"/>
  <c r="O15"/>
  <c r="O16"/>
  <c r="R13"/>
  <c r="R17"/>
  <c r="R21"/>
  <c r="R18"/>
  <c r="R14"/>
  <c r="O25"/>
  <c r="W42"/>
  <c r="Z26"/>
  <c r="Z30"/>
  <c r="Z34"/>
  <c r="Z38"/>
  <c r="L45"/>
  <c r="Z51"/>
  <c r="AA51" s="1"/>
  <c r="AL51" s="1"/>
  <c r="Z55"/>
  <c r="Z67"/>
  <c r="Y61"/>
  <c r="O49"/>
  <c r="O53"/>
  <c r="O57"/>
  <c r="O65"/>
  <c r="Z73"/>
  <c r="O55"/>
  <c r="O59"/>
  <c r="O71"/>
  <c r="Z85"/>
  <c r="R88"/>
  <c r="R92"/>
  <c r="Z88"/>
  <c r="Z92"/>
  <c r="U86"/>
  <c r="Y90"/>
  <c r="AA90" s="1"/>
  <c r="Y94"/>
  <c r="AA94" s="1"/>
  <c r="X86"/>
  <c r="X90"/>
  <c r="X94"/>
  <c r="Y99"/>
  <c r="Z102"/>
  <c r="Y101"/>
  <c r="AA101" s="1"/>
  <c r="AL101" s="1"/>
  <c r="L104"/>
  <c r="R99"/>
  <c r="O101"/>
  <c r="R101"/>
  <c r="X99"/>
  <c r="U101"/>
  <c r="L49"/>
  <c r="Y65"/>
  <c r="R11"/>
  <c r="X18"/>
  <c r="Y41"/>
  <c r="AA41" s="1"/>
  <c r="Z33"/>
  <c r="U35"/>
  <c r="L59"/>
  <c r="Z56"/>
  <c r="U52"/>
  <c r="U64"/>
  <c r="U72"/>
  <c r="X85"/>
  <c r="Z103"/>
  <c r="L100"/>
  <c r="O13"/>
  <c r="R19"/>
  <c r="R15"/>
  <c r="Z25"/>
  <c r="Q42"/>
  <c r="L36"/>
  <c r="R26"/>
  <c r="R34"/>
  <c r="X26"/>
  <c r="X34"/>
  <c r="L54"/>
  <c r="L58"/>
  <c r="Z62"/>
  <c r="Z66"/>
  <c r="L52"/>
  <c r="Y56"/>
  <c r="Y60"/>
  <c r="O68"/>
  <c r="O72"/>
  <c r="O46"/>
  <c r="O50"/>
  <c r="O58"/>
  <c r="O62"/>
  <c r="U65"/>
  <c r="X47"/>
  <c r="X51"/>
  <c r="X55"/>
  <c r="X63"/>
  <c r="Z87"/>
  <c r="Z91"/>
  <c r="AA91" s="1"/>
  <c r="AL91" s="1"/>
  <c r="Z95"/>
  <c r="Y92"/>
  <c r="Y85"/>
  <c r="O88"/>
  <c r="O92"/>
  <c r="U87"/>
  <c r="U91"/>
  <c r="U95"/>
  <c r="U89"/>
  <c r="U93"/>
  <c r="X103"/>
  <c r="Y103"/>
  <c r="AA103" s="1"/>
  <c r="AL103" s="1"/>
  <c r="AA85"/>
  <c r="AL85" s="1"/>
  <c r="L28"/>
  <c r="R39"/>
  <c r="Y25"/>
  <c r="Z28"/>
  <c r="AA28" s="1"/>
  <c r="Y73"/>
  <c r="Z65"/>
  <c r="AA65" s="1"/>
  <c r="AL65" s="1"/>
  <c r="Z57"/>
  <c r="Y57"/>
  <c r="Z50"/>
  <c r="Z74"/>
  <c r="AA74" s="1"/>
  <c r="O85"/>
  <c r="U94"/>
  <c r="Y86"/>
  <c r="Y102"/>
  <c r="AA102" s="1"/>
  <c r="AL102" s="1"/>
  <c r="X21"/>
  <c r="X25"/>
  <c r="X41"/>
  <c r="Y29"/>
  <c r="AA29" s="1"/>
  <c r="P42"/>
  <c r="U47"/>
  <c r="Y49"/>
  <c r="AA49" s="1"/>
  <c r="AL49" s="1"/>
  <c r="Z54"/>
  <c r="Y52"/>
  <c r="Y74"/>
  <c r="Z69"/>
  <c r="Y72"/>
  <c r="AA72" s="1"/>
  <c r="AL72" s="1"/>
  <c r="O93"/>
  <c r="O89"/>
  <c r="AL90"/>
  <c r="U17"/>
  <c r="X11"/>
  <c r="L40"/>
  <c r="R29"/>
  <c r="X36"/>
  <c r="Y38"/>
  <c r="Y34"/>
  <c r="AA34" s="1"/>
  <c r="AL34" s="1"/>
  <c r="Y30"/>
  <c r="Y26"/>
  <c r="M42"/>
  <c r="L51"/>
  <c r="L65"/>
  <c r="L73"/>
  <c r="O47"/>
  <c r="O61"/>
  <c r="O73"/>
  <c r="R51"/>
  <c r="R49"/>
  <c r="R69"/>
  <c r="R73"/>
  <c r="U51"/>
  <c r="U55"/>
  <c r="U59"/>
  <c r="U63"/>
  <c r="U67"/>
  <c r="U71"/>
  <c r="U75"/>
  <c r="Y75"/>
  <c r="X48"/>
  <c r="Z60"/>
  <c r="AA60" s="1"/>
  <c r="Z64"/>
  <c r="Z72"/>
  <c r="Y71"/>
  <c r="L87"/>
  <c r="Z86"/>
  <c r="Y32"/>
  <c r="AA32" s="1"/>
  <c r="K42"/>
  <c r="Y53"/>
  <c r="Z46"/>
  <c r="Z70"/>
  <c r="U90"/>
  <c r="L27"/>
  <c r="L35"/>
  <c r="O41"/>
  <c r="R30"/>
  <c r="U40"/>
  <c r="Y33"/>
  <c r="AA33" s="1"/>
  <c r="Z41"/>
  <c r="T42"/>
  <c r="L62"/>
  <c r="Z58"/>
  <c r="Y48"/>
  <c r="Y64"/>
  <c r="Z53"/>
  <c r="L91"/>
  <c r="Y95"/>
  <c r="Y87"/>
  <c r="L101"/>
  <c r="X12"/>
  <c r="L31"/>
  <c r="L33"/>
  <c r="X27"/>
  <c r="X31"/>
  <c r="Z35"/>
  <c r="AA35" s="1"/>
  <c r="AL35" s="1"/>
  <c r="Z27"/>
  <c r="AL36"/>
  <c r="V42"/>
  <c r="L75"/>
  <c r="L57"/>
  <c r="L64"/>
  <c r="L68"/>
  <c r="O66"/>
  <c r="O74"/>
  <c r="O48"/>
  <c r="O52"/>
  <c r="O56"/>
  <c r="R50"/>
  <c r="R60"/>
  <c r="U50"/>
  <c r="U58"/>
  <c r="U66"/>
  <c r="U74"/>
  <c r="Y46"/>
  <c r="X54"/>
  <c r="Y58"/>
  <c r="X62"/>
  <c r="Y66"/>
  <c r="Z59"/>
  <c r="Z63"/>
  <c r="Z71"/>
  <c r="Z75"/>
  <c r="AA75" s="1"/>
  <c r="L89"/>
  <c r="L93"/>
  <c r="Y93"/>
  <c r="Y89"/>
  <c r="L99"/>
  <c r="L10" i="3"/>
  <c r="R10"/>
  <c r="AH86" i="2"/>
  <c r="AK93"/>
  <c r="AD90"/>
  <c r="AD89"/>
  <c r="L92"/>
  <c r="L90"/>
  <c r="L88"/>
  <c r="AH73"/>
  <c r="AH71"/>
  <c r="AK69"/>
  <c r="AK67"/>
  <c r="AJ76"/>
  <c r="AI76"/>
  <c r="AK46"/>
  <c r="AD68"/>
  <c r="AD62"/>
  <c r="AD61"/>
  <c r="AD60"/>
  <c r="AD59"/>
  <c r="AD53"/>
  <c r="AB76"/>
  <c r="AC76"/>
  <c r="X72"/>
  <c r="X70"/>
  <c r="X69"/>
  <c r="AA68"/>
  <c r="AA67"/>
  <c r="X60"/>
  <c r="X59"/>
  <c r="X50"/>
  <c r="Z48"/>
  <c r="X75"/>
  <c r="X74"/>
  <c r="X71"/>
  <c r="Y70"/>
  <c r="Y69"/>
  <c r="X68"/>
  <c r="X64"/>
  <c r="Y63"/>
  <c r="Y62"/>
  <c r="X58"/>
  <c r="X57"/>
  <c r="Y55"/>
  <c r="Y54"/>
  <c r="X53"/>
  <c r="X52"/>
  <c r="Y47"/>
  <c r="V76"/>
  <c r="X46"/>
  <c r="W76"/>
  <c r="T76"/>
  <c r="S76"/>
  <c r="R74"/>
  <c r="R71"/>
  <c r="R66"/>
  <c r="R64"/>
  <c r="R62"/>
  <c r="R57"/>
  <c r="R56"/>
  <c r="R55"/>
  <c r="R53"/>
  <c r="P76"/>
  <c r="R47"/>
  <c r="Q76"/>
  <c r="R46"/>
  <c r="O75"/>
  <c r="O70"/>
  <c r="O69"/>
  <c r="O64"/>
  <c r="O63"/>
  <c r="O60"/>
  <c r="M76"/>
  <c r="N76"/>
  <c r="L66"/>
  <c r="L61"/>
  <c r="L74"/>
  <c r="L70"/>
  <c r="L69"/>
  <c r="L67"/>
  <c r="L63"/>
  <c r="L60"/>
  <c r="L56"/>
  <c r="L55"/>
  <c r="L50"/>
  <c r="L48"/>
  <c r="L47"/>
  <c r="K76"/>
  <c r="L46"/>
  <c r="J76"/>
  <c r="AK39"/>
  <c r="AK29"/>
  <c r="AH38"/>
  <c r="AH34"/>
  <c r="U37"/>
  <c r="R35"/>
  <c r="AK12"/>
  <c r="AK20"/>
  <c r="AK14"/>
  <c r="AK11"/>
  <c r="AD20"/>
  <c r="AD16"/>
  <c r="X19"/>
  <c r="X13"/>
  <c r="U12"/>
  <c r="U20"/>
  <c r="U11"/>
  <c r="O17"/>
  <c r="O20"/>
  <c r="AL38" l="1"/>
  <c r="J11" i="3"/>
  <c r="P11"/>
  <c r="AH42" i="2"/>
  <c r="AA47"/>
  <c r="AA38"/>
  <c r="K11" i="3"/>
  <c r="Q11"/>
  <c r="R42" i="2"/>
  <c r="U42"/>
  <c r="AA89"/>
  <c r="AL89" s="1"/>
  <c r="AA66"/>
  <c r="AL66" s="1"/>
  <c r="AA46"/>
  <c r="AA95"/>
  <c r="AL95" s="1"/>
  <c r="O42"/>
  <c r="AA52"/>
  <c r="AL52" s="1"/>
  <c r="AA56"/>
  <c r="AL56" s="1"/>
  <c r="AA99"/>
  <c r="AL99" s="1"/>
  <c r="AL94"/>
  <c r="AA31"/>
  <c r="AL31" s="1"/>
  <c r="AL104"/>
  <c r="AK42"/>
  <c r="AA93"/>
  <c r="AL93" s="1"/>
  <c r="AA26"/>
  <c r="AA92"/>
  <c r="AL92" s="1"/>
  <c r="AA37"/>
  <c r="AL37" s="1"/>
  <c r="AA39"/>
  <c r="AL39" s="1"/>
  <c r="AA48"/>
  <c r="AL48" s="1"/>
  <c r="AA62"/>
  <c r="AA58"/>
  <c r="AL58" s="1"/>
  <c r="AA53"/>
  <c r="AL53" s="1"/>
  <c r="AA71"/>
  <c r="AL71" s="1"/>
  <c r="U76"/>
  <c r="AA86"/>
  <c r="AL86" s="1"/>
  <c r="AA50"/>
  <c r="AL50" s="1"/>
  <c r="AA73"/>
  <c r="Z76"/>
  <c r="AA30"/>
  <c r="AL30" s="1"/>
  <c r="AA55"/>
  <c r="AL55" s="1"/>
  <c r="AA70"/>
  <c r="AL70" s="1"/>
  <c r="Z42"/>
  <c r="H10" i="3" s="1"/>
  <c r="AA87" i="2"/>
  <c r="AL87" s="1"/>
  <c r="AA64"/>
  <c r="AL64" s="1"/>
  <c r="AA57"/>
  <c r="AL57" s="1"/>
  <c r="L42"/>
  <c r="Y42"/>
  <c r="G10" i="3" s="1"/>
  <c r="AA25" i="2"/>
  <c r="AA63"/>
  <c r="AL63" s="1"/>
  <c r="AA54"/>
  <c r="AL54" s="1"/>
  <c r="AA69"/>
  <c r="AL69" s="1"/>
  <c r="AL73"/>
  <c r="AA27"/>
  <c r="X42"/>
  <c r="H11" i="3"/>
  <c r="AL67" i="2"/>
  <c r="AK76"/>
  <c r="AL68"/>
  <c r="AL62"/>
  <c r="AL60"/>
  <c r="AD76"/>
  <c r="AL59"/>
  <c r="X76"/>
  <c r="Y76"/>
  <c r="R76"/>
  <c r="O76"/>
  <c r="L76"/>
  <c r="AK77" l="1"/>
  <c r="L11" i="3"/>
  <c r="R11"/>
  <c r="AA76" i="2"/>
  <c r="AA42"/>
  <c r="G11" i="3"/>
  <c r="P22" i="2"/>
  <c r="P77" s="1"/>
  <c r="Q22"/>
  <c r="Q77" s="1"/>
  <c r="R22"/>
  <c r="R77" s="1"/>
  <c r="S22"/>
  <c r="S77" s="1"/>
  <c r="T22"/>
  <c r="T77" s="1"/>
  <c r="U22"/>
  <c r="U77" s="1"/>
  <c r="V22"/>
  <c r="V77" s="1"/>
  <c r="W22"/>
  <c r="W77" s="1"/>
  <c r="X22"/>
  <c r="X77" s="1"/>
  <c r="AB22"/>
  <c r="AC22"/>
  <c r="AI22"/>
  <c r="AJ22"/>
  <c r="AK22"/>
  <c r="P9" i="3" l="1"/>
  <c r="AI77" i="2"/>
  <c r="Q9" i="3"/>
  <c r="Q12" s="1"/>
  <c r="E6" i="18" s="1"/>
  <c r="AJ77" i="2"/>
  <c r="K9" i="3"/>
  <c r="AC77" i="2"/>
  <c r="J9" i="3"/>
  <c r="AB77" i="2"/>
  <c r="U68" i="3"/>
  <c r="T66"/>
  <c r="R9" l="1"/>
  <c r="R12" s="1"/>
  <c r="P12"/>
  <c r="E5" i="18" s="1"/>
  <c r="L9" i="3"/>
  <c r="T64"/>
  <c r="P105" i="2" l="1"/>
  <c r="Q105"/>
  <c r="R105"/>
  <c r="S105"/>
  <c r="T105"/>
  <c r="U105"/>
  <c r="V105"/>
  <c r="W105"/>
  <c r="X105"/>
  <c r="Y105"/>
  <c r="G18" i="3" s="1"/>
  <c r="Z105" i="2"/>
  <c r="H18" i="3" s="1"/>
  <c r="AA105" i="2"/>
  <c r="AB105"/>
  <c r="J18" i="3" s="1"/>
  <c r="L18" s="1"/>
  <c r="AC105" i="2"/>
  <c r="K18" i="3" s="1"/>
  <c r="AF105" i="2"/>
  <c r="N18" i="3" s="1"/>
  <c r="AI105" i="2"/>
  <c r="P18" i="3" s="1"/>
  <c r="AJ105" i="2"/>
  <c r="Q18" i="3" s="1"/>
  <c r="AK105" i="2"/>
  <c r="P96"/>
  <c r="Q96"/>
  <c r="R96"/>
  <c r="S96"/>
  <c r="T96"/>
  <c r="U96"/>
  <c r="V96"/>
  <c r="W96"/>
  <c r="X96"/>
  <c r="Y96"/>
  <c r="G17" i="3" s="1"/>
  <c r="Z96" i="2"/>
  <c r="H17" i="3" s="1"/>
  <c r="AA96" i="2"/>
  <c r="AC96"/>
  <c r="K17" i="3" s="1"/>
  <c r="AF96" i="2"/>
  <c r="N17" i="3" s="1"/>
  <c r="AI96" i="2"/>
  <c r="P17" i="3" s="1"/>
  <c r="AJ96" i="2"/>
  <c r="Q17" i="3" s="1"/>
  <c r="AK96" i="2"/>
  <c r="P158"/>
  <c r="Q158"/>
  <c r="R158"/>
  <c r="S158"/>
  <c r="T158"/>
  <c r="U158"/>
  <c r="V158"/>
  <c r="W158"/>
  <c r="X158"/>
  <c r="Y158"/>
  <c r="G27" i="3" s="1"/>
  <c r="Z158" i="2"/>
  <c r="H27" i="3" s="1"/>
  <c r="AA158" i="2"/>
  <c r="AB158"/>
  <c r="AC158"/>
  <c r="AF158"/>
  <c r="AI158"/>
  <c r="P27" i="3" s="1"/>
  <c r="AJ158" i="2"/>
  <c r="Q27" i="3" s="1"/>
  <c r="Q28" s="1"/>
  <c r="E10" i="18" s="1"/>
  <c r="AK158" i="2"/>
  <c r="P187"/>
  <c r="P188" s="1"/>
  <c r="Q187"/>
  <c r="Q188" s="1"/>
  <c r="R187"/>
  <c r="R188" s="1"/>
  <c r="S187"/>
  <c r="S188" s="1"/>
  <c r="T187"/>
  <c r="T188" s="1"/>
  <c r="U187"/>
  <c r="U188" s="1"/>
  <c r="V187"/>
  <c r="V188" s="1"/>
  <c r="W187"/>
  <c r="W188" s="1"/>
  <c r="X187"/>
  <c r="X188" s="1"/>
  <c r="Y187"/>
  <c r="Z187"/>
  <c r="AA187"/>
  <c r="AA188" s="1"/>
  <c r="AB187"/>
  <c r="AC187"/>
  <c r="AE187"/>
  <c r="AF187"/>
  <c r="AF188" s="1"/>
  <c r="AI187"/>
  <c r="AJ187"/>
  <c r="AK187"/>
  <c r="AK188" s="1"/>
  <c r="P280"/>
  <c r="P292" s="1"/>
  <c r="Q280"/>
  <c r="Q292" s="1"/>
  <c r="R280"/>
  <c r="R292" s="1"/>
  <c r="S280"/>
  <c r="S292" s="1"/>
  <c r="T280"/>
  <c r="T292" s="1"/>
  <c r="U280"/>
  <c r="U292" s="1"/>
  <c r="V280"/>
  <c r="V292" s="1"/>
  <c r="W280"/>
  <c r="W292" s="1"/>
  <c r="X280"/>
  <c r="X292" s="1"/>
  <c r="Y280"/>
  <c r="Z280"/>
  <c r="AA280"/>
  <c r="AA292" s="1"/>
  <c r="AB280"/>
  <c r="AC280"/>
  <c r="AE280"/>
  <c r="AF280"/>
  <c r="AI280"/>
  <c r="AJ280"/>
  <c r="AK280"/>
  <c r="AK292" s="1"/>
  <c r="R17" i="3" l="1"/>
  <c r="P20"/>
  <c r="E7" i="18" s="1"/>
  <c r="AJ292" i="2"/>
  <c r="Q56" i="3"/>
  <c r="Y292" i="2"/>
  <c r="Z292"/>
  <c r="H56" i="3"/>
  <c r="I56" s="1"/>
  <c r="Q20"/>
  <c r="E8" i="18" s="1"/>
  <c r="AI292" i="2"/>
  <c r="P56" i="3"/>
  <c r="P58" s="1"/>
  <c r="R18"/>
  <c r="K34"/>
  <c r="AC188" i="2"/>
  <c r="J34" i="3"/>
  <c r="AB188" i="2"/>
  <c r="Q34" i="3"/>
  <c r="Q35" s="1"/>
  <c r="E12" i="18" s="1"/>
  <c r="AJ188" i="2"/>
  <c r="P34" i="3"/>
  <c r="AI188" i="2"/>
  <c r="M34" i="3"/>
  <c r="AE188" i="2"/>
  <c r="H34" i="3"/>
  <c r="Z188" i="2"/>
  <c r="G34" i="3"/>
  <c r="Y188" i="2"/>
  <c r="R27" i="3"/>
  <c r="R28" s="1"/>
  <c r="P28"/>
  <c r="E9" i="18" s="1"/>
  <c r="I27" i="3"/>
  <c r="AI159" i="2"/>
  <c r="AJ115"/>
  <c r="AK159"/>
  <c r="Z159"/>
  <c r="V159"/>
  <c r="R159"/>
  <c r="AK115"/>
  <c r="X115"/>
  <c r="T115"/>
  <c r="P115"/>
  <c r="Z115"/>
  <c r="V115"/>
  <c r="R115"/>
  <c r="U159"/>
  <c r="Y115"/>
  <c r="U115"/>
  <c r="Q115"/>
  <c r="AI115"/>
  <c r="AA115"/>
  <c r="W115"/>
  <c r="S115"/>
  <c r="Y159"/>
  <c r="Q159"/>
  <c r="AJ159"/>
  <c r="X159"/>
  <c r="T159"/>
  <c r="P159"/>
  <c r="AA159"/>
  <c r="W159"/>
  <c r="S159"/>
  <c r="N66" i="3"/>
  <c r="N67" s="1"/>
  <c r="M66"/>
  <c r="M67" s="1"/>
  <c r="D19" i="18" s="1"/>
  <c r="K66" i="3"/>
  <c r="L65"/>
  <c r="L66" l="1"/>
  <c r="K67"/>
  <c r="D20" i="18" s="1"/>
  <c r="R20" i="3"/>
  <c r="L67"/>
  <c r="O66"/>
  <c r="O67" s="1"/>
  <c r="E17" i="18"/>
  <c r="E21" s="1"/>
  <c r="R56" i="3"/>
  <c r="R58" s="1"/>
  <c r="Q58"/>
  <c r="U329" i="2"/>
  <c r="L34" i="3"/>
  <c r="R34"/>
  <c r="R35" s="1"/>
  <c r="P35"/>
  <c r="E11" i="18" s="1"/>
  <c r="AK329" i="2"/>
  <c r="S329"/>
  <c r="Q329"/>
  <c r="R329"/>
  <c r="T329"/>
  <c r="V329"/>
  <c r="X329"/>
  <c r="AI329"/>
  <c r="P329"/>
  <c r="AJ329"/>
  <c r="T65" i="3"/>
  <c r="W329" i="2"/>
  <c r="N305"/>
  <c r="N327"/>
  <c r="M327"/>
  <c r="K327"/>
  <c r="J305"/>
  <c r="M305"/>
  <c r="M280"/>
  <c r="AB96"/>
  <c r="J17" i="3" s="1"/>
  <c r="L17" s="1"/>
  <c r="AD10" i="2"/>
  <c r="AH10"/>
  <c r="AD25"/>
  <c r="AD26"/>
  <c r="AL26" s="1"/>
  <c r="AD27"/>
  <c r="AL27" s="1"/>
  <c r="AD28"/>
  <c r="AL28" s="1"/>
  <c r="AD32"/>
  <c r="AL32" s="1"/>
  <c r="AD33"/>
  <c r="AL33" s="1"/>
  <c r="AD41"/>
  <c r="AL41" s="1"/>
  <c r="AC115"/>
  <c r="AF115"/>
  <c r="AD146"/>
  <c r="AH146"/>
  <c r="J27" i="3"/>
  <c r="K27"/>
  <c r="N27"/>
  <c r="J40"/>
  <c r="K40"/>
  <c r="M40"/>
  <c r="O40" s="1"/>
  <c r="N40"/>
  <c r="K41"/>
  <c r="M41"/>
  <c r="N41"/>
  <c r="AC222" i="2"/>
  <c r="AH238"/>
  <c r="AH255" s="1"/>
  <c r="AC238"/>
  <c r="AC255" s="1"/>
  <c r="AE238"/>
  <c r="AE255" s="1"/>
  <c r="AF238"/>
  <c r="AF255" s="1"/>
  <c r="J49" i="3"/>
  <c r="K49"/>
  <c r="N49"/>
  <c r="J56"/>
  <c r="L56" s="1"/>
  <c r="K56"/>
  <c r="M56"/>
  <c r="N56"/>
  <c r="J57"/>
  <c r="L57" s="1"/>
  <c r="K57"/>
  <c r="N57"/>
  <c r="AL25" i="2" l="1"/>
  <c r="O56" i="3"/>
  <c r="L40"/>
  <c r="K42"/>
  <c r="K43" s="1"/>
  <c r="AC223" i="2"/>
  <c r="M42" i="3"/>
  <c r="AE223" i="2"/>
  <c r="N42" i="3"/>
  <c r="N43" s="1"/>
  <c r="AF223" i="2"/>
  <c r="O41" i="3"/>
  <c r="N48"/>
  <c r="N50" s="1"/>
  <c r="J48"/>
  <c r="AE22" i="2"/>
  <c r="M9" i="3" s="1"/>
  <c r="K48"/>
  <c r="K50" s="1"/>
  <c r="AD22" i="2"/>
  <c r="M48" i="3"/>
  <c r="AF22" i="2"/>
  <c r="N9" i="3" s="1"/>
  <c r="C19" i="18"/>
  <c r="AB115" i="2"/>
  <c r="K96"/>
  <c r="N96"/>
  <c r="AE105"/>
  <c r="M18" i="3" s="1"/>
  <c r="O18" s="1"/>
  <c r="AH96" i="2"/>
  <c r="AE96"/>
  <c r="M17" i="3" s="1"/>
  <c r="O17" s="1"/>
  <c r="AD105" i="2"/>
  <c r="K105"/>
  <c r="N105"/>
  <c r="K26" i="3"/>
  <c r="AC159" i="2"/>
  <c r="K158"/>
  <c r="N158"/>
  <c r="AH158"/>
  <c r="AE158"/>
  <c r="M27" i="3" s="1"/>
  <c r="O27" s="1"/>
  <c r="J26"/>
  <c r="N187" i="2"/>
  <c r="N188" s="1"/>
  <c r="N26" i="3"/>
  <c r="AF159" i="2"/>
  <c r="AD158"/>
  <c r="L27" i="3" s="1"/>
  <c r="K187" i="2"/>
  <c r="K188" s="1"/>
  <c r="AD280"/>
  <c r="N280"/>
  <c r="AH280"/>
  <c r="AD187"/>
  <c r="AD188" s="1"/>
  <c r="AF292"/>
  <c r="J55" i="3"/>
  <c r="AB292" i="2"/>
  <c r="K55" i="3"/>
  <c r="K58" s="1"/>
  <c r="AC292" i="2"/>
  <c r="J187"/>
  <c r="J188" s="1"/>
  <c r="M187"/>
  <c r="M188" s="1"/>
  <c r="AH187"/>
  <c r="AH188" s="1"/>
  <c r="N328"/>
  <c r="AD328"/>
  <c r="L305"/>
  <c r="O305"/>
  <c r="K305"/>
  <c r="K328" s="1"/>
  <c r="J327"/>
  <c r="J328" s="1"/>
  <c r="O327"/>
  <c r="N25" i="3"/>
  <c r="L327" i="2"/>
  <c r="K25" i="3"/>
  <c r="M328" i="2"/>
  <c r="AD238"/>
  <c r="AD255" s="1"/>
  <c r="AD40"/>
  <c r="AL40" s="1"/>
  <c r="N222"/>
  <c r="N254"/>
  <c r="M254"/>
  <c r="M57" i="3"/>
  <c r="N201" i="2"/>
  <c r="N211"/>
  <c r="M238"/>
  <c r="M255" s="1"/>
  <c r="M271"/>
  <c r="M158"/>
  <c r="M201"/>
  <c r="O280"/>
  <c r="J201"/>
  <c r="N238"/>
  <c r="N271"/>
  <c r="J238"/>
  <c r="K211"/>
  <c r="K238"/>
  <c r="K254"/>
  <c r="AE76"/>
  <c r="J271"/>
  <c r="AG223"/>
  <c r="N20" i="3"/>
  <c r="J280" i="2"/>
  <c r="K280"/>
  <c r="M26" i="3"/>
  <c r="J41"/>
  <c r="L41" s="1"/>
  <c r="AL47" i="2"/>
  <c r="K35" i="3"/>
  <c r="AH223" i="2"/>
  <c r="L49" i="3"/>
  <c r="AD96" i="2"/>
  <c r="AB222"/>
  <c r="N55" i="3"/>
  <c r="N58" s="1"/>
  <c r="L26"/>
  <c r="M25"/>
  <c r="K20"/>
  <c r="I33"/>
  <c r="T33" s="1"/>
  <c r="K12"/>
  <c r="J35"/>
  <c r="N34"/>
  <c r="N35" s="1"/>
  <c r="S64" l="1"/>
  <c r="S67" s="1"/>
  <c r="P68"/>
  <c r="M11"/>
  <c r="AE77" i="2"/>
  <c r="D8" i="18"/>
  <c r="O26" i="3"/>
  <c r="N255" i="2"/>
  <c r="O48" i="3"/>
  <c r="O9"/>
  <c r="J58"/>
  <c r="L55"/>
  <c r="L58" s="1"/>
  <c r="J50"/>
  <c r="L48"/>
  <c r="O57"/>
  <c r="T57"/>
  <c r="K255" i="2"/>
  <c r="O42" i="3"/>
  <c r="O43" s="1"/>
  <c r="J42"/>
  <c r="L42" s="1"/>
  <c r="AB223" i="2"/>
  <c r="M43" i="3"/>
  <c r="AL178" i="2"/>
  <c r="S33" i="3" s="1"/>
  <c r="AF76" i="2"/>
  <c r="AH22"/>
  <c r="AG22"/>
  <c r="N115"/>
  <c r="H50" i="3"/>
  <c r="L81" s="1"/>
  <c r="T56"/>
  <c r="O96" i="2"/>
  <c r="AE115"/>
  <c r="M96"/>
  <c r="K115"/>
  <c r="AD115"/>
  <c r="L187"/>
  <c r="L188" s="1"/>
  <c r="AH105"/>
  <c r="O105"/>
  <c r="N159"/>
  <c r="AG105"/>
  <c r="AH159"/>
  <c r="J96"/>
  <c r="M105"/>
  <c r="L96"/>
  <c r="L35" i="3"/>
  <c r="N292" i="2"/>
  <c r="L158"/>
  <c r="AD292"/>
  <c r="AE159"/>
  <c r="N28" i="3"/>
  <c r="K28"/>
  <c r="AB159" i="2"/>
  <c r="J158"/>
  <c r="H35" i="3"/>
  <c r="K159" i="2"/>
  <c r="O34" i="3"/>
  <c r="O35" s="1"/>
  <c r="G58"/>
  <c r="M292" i="2"/>
  <c r="AL187"/>
  <c r="O187"/>
  <c r="O188" s="1"/>
  <c r="O328"/>
  <c r="K222"/>
  <c r="L328"/>
  <c r="AD29"/>
  <c r="M222"/>
  <c r="I42" i="3" s="1"/>
  <c r="T42" s="1"/>
  <c r="O271" i="2"/>
  <c r="AL305"/>
  <c r="M49" i="3"/>
  <c r="K201" i="2"/>
  <c r="O201"/>
  <c r="AL201"/>
  <c r="AL45"/>
  <c r="O238"/>
  <c r="S49" i="3"/>
  <c r="I11"/>
  <c r="T11" s="1"/>
  <c r="O211" i="2"/>
  <c r="M211"/>
  <c r="I41" i="3" s="1"/>
  <c r="T41" s="1"/>
  <c r="M159" i="2"/>
  <c r="O222"/>
  <c r="AL46"/>
  <c r="L271"/>
  <c r="L201"/>
  <c r="O158"/>
  <c r="AD222"/>
  <c r="AD223" s="1"/>
  <c r="L254"/>
  <c r="O254"/>
  <c r="N223"/>
  <c r="AG96"/>
  <c r="L280"/>
  <c r="J254"/>
  <c r="J255" s="1"/>
  <c r="K271"/>
  <c r="L238"/>
  <c r="AL75"/>
  <c r="O25" i="3"/>
  <c r="J292" i="2"/>
  <c r="AD159"/>
  <c r="J20" i="3"/>
  <c r="I10"/>
  <c r="T10" s="1"/>
  <c r="T26"/>
  <c r="I49"/>
  <c r="T49" s="1"/>
  <c r="AL132" i="2"/>
  <c r="D18" i="18"/>
  <c r="M35" i="3"/>
  <c r="D11" i="18" s="1"/>
  <c r="D14"/>
  <c r="J12" i="3"/>
  <c r="D16" i="18"/>
  <c r="D12"/>
  <c r="R68" i="3" l="1"/>
  <c r="AL29" i="2"/>
  <c r="AL42" s="1"/>
  <c r="S10" i="3" s="1"/>
  <c r="AD42" i="2"/>
  <c r="AD77" s="1"/>
  <c r="N11" i="3"/>
  <c r="N12" s="1"/>
  <c r="D6" i="18" s="1"/>
  <c r="AF77" i="2"/>
  <c r="AF329" s="1"/>
  <c r="L255"/>
  <c r="M12" i="3"/>
  <c r="K68"/>
  <c r="D10" i="18"/>
  <c r="D5"/>
  <c r="O255" i="2"/>
  <c r="AL271"/>
  <c r="M50" i="3"/>
  <c r="D15" i="18" s="1"/>
  <c r="O49" i="3"/>
  <c r="J43"/>
  <c r="D13" i="18" s="1"/>
  <c r="AL211" i="2"/>
  <c r="S41" i="3" s="1"/>
  <c r="S40"/>
  <c r="AL188" i="2"/>
  <c r="AG115"/>
  <c r="AG76"/>
  <c r="AG77" s="1"/>
  <c r="AH76"/>
  <c r="AH77" s="1"/>
  <c r="AL74"/>
  <c r="AL76" s="1"/>
  <c r="L12" i="3"/>
  <c r="O115" i="2"/>
  <c r="J42"/>
  <c r="H58" i="3"/>
  <c r="C20" i="18"/>
  <c r="F19" s="1"/>
  <c r="I63" i="3"/>
  <c r="I67" s="1"/>
  <c r="O292" i="2"/>
  <c r="M20" i="3"/>
  <c r="D7" i="18" s="1"/>
  <c r="S48" i="3"/>
  <c r="S50" s="1"/>
  <c r="AH115" i="2"/>
  <c r="N68" i="3"/>
  <c r="K82"/>
  <c r="O20"/>
  <c r="M115" i="2"/>
  <c r="L105"/>
  <c r="L115" s="1"/>
  <c r="J105"/>
  <c r="J115" s="1"/>
  <c r="I34" i="3"/>
  <c r="T34" s="1"/>
  <c r="T35" s="1"/>
  <c r="T27"/>
  <c r="O159" i="2"/>
  <c r="AG292"/>
  <c r="J25" i="3"/>
  <c r="J28" s="1"/>
  <c r="S34"/>
  <c r="K292" i="2"/>
  <c r="K223"/>
  <c r="M55" i="3"/>
  <c r="AE292" i="2"/>
  <c r="AL280"/>
  <c r="AH292"/>
  <c r="L292"/>
  <c r="AC329"/>
  <c r="M223"/>
  <c r="AB329"/>
  <c r="I55" i="3"/>
  <c r="T55" s="1"/>
  <c r="T58" s="1"/>
  <c r="L25"/>
  <c r="L28" s="1"/>
  <c r="O223" i="2"/>
  <c r="H28" i="3"/>
  <c r="C10" i="18" s="1"/>
  <c r="AL222" i="2"/>
  <c r="H20" i="3"/>
  <c r="L43"/>
  <c r="L222" i="2"/>
  <c r="J222"/>
  <c r="L211"/>
  <c r="J211"/>
  <c r="L20" i="3"/>
  <c r="G35"/>
  <c r="C11" i="18" s="1"/>
  <c r="G11" s="1"/>
  <c r="J146" i="2"/>
  <c r="L159"/>
  <c r="G43" i="3"/>
  <c r="K80" s="1"/>
  <c r="C17" i="18"/>
  <c r="M28" i="3"/>
  <c r="C16" i="18"/>
  <c r="L79" i="3"/>
  <c r="C12" i="18"/>
  <c r="S25" i="3"/>
  <c r="H43"/>
  <c r="I40"/>
  <c r="I48"/>
  <c r="I18"/>
  <c r="T18" s="1"/>
  <c r="AL114" i="2"/>
  <c r="H79" i="3" l="1"/>
  <c r="L82"/>
  <c r="Q68"/>
  <c r="O11"/>
  <c r="O12" s="1"/>
  <c r="D9" i="18"/>
  <c r="O55" i="3"/>
  <c r="O58" s="1"/>
  <c r="M58"/>
  <c r="D17" i="18" s="1"/>
  <c r="F11"/>
  <c r="AL291" i="2"/>
  <c r="S57" i="3" s="1"/>
  <c r="AL223" i="2"/>
  <c r="J68" i="3"/>
  <c r="S42"/>
  <c r="S43" s="1"/>
  <c r="AL146" i="2"/>
  <c r="S26" i="3" s="1"/>
  <c r="J159" i="2"/>
  <c r="S11" i="3"/>
  <c r="I19"/>
  <c r="T19" s="1"/>
  <c r="AD329" i="2"/>
  <c r="C18" i="18"/>
  <c r="O50" i="3"/>
  <c r="S56"/>
  <c r="T63"/>
  <c r="T67" s="1"/>
  <c r="S19"/>
  <c r="I35"/>
  <c r="S35"/>
  <c r="AL158" i="2"/>
  <c r="G28" i="3"/>
  <c r="K78" s="1"/>
  <c r="AE329" i="2"/>
  <c r="G50" i="3"/>
  <c r="AG329" i="2"/>
  <c r="S55" i="3"/>
  <c r="I58"/>
  <c r="L78"/>
  <c r="K79"/>
  <c r="L223" i="2"/>
  <c r="J223"/>
  <c r="C13" i="18"/>
  <c r="O28" i="3"/>
  <c r="T48"/>
  <c r="T50" s="1"/>
  <c r="I50"/>
  <c r="I43"/>
  <c r="T40"/>
  <c r="T43" s="1"/>
  <c r="C14" i="18"/>
  <c r="L80" i="3"/>
  <c r="G20"/>
  <c r="K77" s="1"/>
  <c r="I17"/>
  <c r="L77"/>
  <c r="C8" i="18"/>
  <c r="F17" l="1"/>
  <c r="M68" i="3"/>
  <c r="F13" i="18"/>
  <c r="S58" i="3"/>
  <c r="AL292" i="2"/>
  <c r="D21" i="18"/>
  <c r="D22" s="1"/>
  <c r="AL159" i="2"/>
  <c r="S27" i="3"/>
  <c r="S28" s="1"/>
  <c r="K81"/>
  <c r="O68"/>
  <c r="AL105" i="2"/>
  <c r="S18" i="3" s="1"/>
  <c r="AL96" i="2"/>
  <c r="C9" i="18"/>
  <c r="F9" s="1"/>
  <c r="I25" i="3"/>
  <c r="I28" s="1"/>
  <c r="C15" i="18"/>
  <c r="AH329" i="2"/>
  <c r="C7" i="18"/>
  <c r="I20" i="3"/>
  <c r="T17"/>
  <c r="T20" s="1"/>
  <c r="F7" i="18" l="1"/>
  <c r="G7"/>
  <c r="H78" i="3"/>
  <c r="F15" i="18"/>
  <c r="G15"/>
  <c r="S17" i="3"/>
  <c r="S20" s="1"/>
  <c r="AL115" i="2"/>
  <c r="T25" i="3"/>
  <c r="T28" s="1"/>
  <c r="K13" i="2" l="1"/>
  <c r="Z13" s="1"/>
  <c r="K15" l="1"/>
  <c r="Z15" s="1"/>
  <c r="K17"/>
  <c r="Z17" s="1"/>
  <c r="K14"/>
  <c r="Z14" s="1"/>
  <c r="J14"/>
  <c r="K21"/>
  <c r="Z21" s="1"/>
  <c r="K16"/>
  <c r="Z16" s="1"/>
  <c r="K18"/>
  <c r="Z18" s="1"/>
  <c r="K20"/>
  <c r="Z20" s="1"/>
  <c r="J13"/>
  <c r="L14" l="1"/>
  <c r="Y14"/>
  <c r="AA14" s="1"/>
  <c r="AL14" s="1"/>
  <c r="L13"/>
  <c r="Y13"/>
  <c r="AA13" s="1"/>
  <c r="AL13" s="1"/>
  <c r="K19"/>
  <c r="Z19" s="1"/>
  <c r="J16"/>
  <c r="J19"/>
  <c r="J18"/>
  <c r="J15"/>
  <c r="J21"/>
  <c r="J17"/>
  <c r="J20"/>
  <c r="L19" l="1"/>
  <c r="Y19"/>
  <c r="AA19" s="1"/>
  <c r="AL19" s="1"/>
  <c r="L18"/>
  <c r="Y18"/>
  <c r="AA18" s="1"/>
  <c r="AL18" s="1"/>
  <c r="L15"/>
  <c r="Y15"/>
  <c r="AA15" s="1"/>
  <c r="AL15" s="1"/>
  <c r="L17"/>
  <c r="Y17"/>
  <c r="AA17" s="1"/>
  <c r="AL17" s="1"/>
  <c r="L20"/>
  <c r="Y20"/>
  <c r="AA20" s="1"/>
  <c r="AL20" s="1"/>
  <c r="L21"/>
  <c r="Y21"/>
  <c r="AA21" s="1"/>
  <c r="AL21" s="1"/>
  <c r="L16"/>
  <c r="Y16"/>
  <c r="AA16" s="1"/>
  <c r="AL16" s="1"/>
  <c r="N11"/>
  <c r="N10" l="1"/>
  <c r="N22" s="1"/>
  <c r="N77" s="1"/>
  <c r="N329" l="1"/>
  <c r="M11"/>
  <c r="O11" s="1"/>
  <c r="M10" l="1"/>
  <c r="O10" l="1"/>
  <c r="M22"/>
  <c r="M77" s="1"/>
  <c r="O22" l="1"/>
  <c r="M329"/>
  <c r="O329" l="1"/>
  <c r="O77"/>
  <c r="J12" l="1"/>
  <c r="Y12" s="1"/>
  <c r="J11" l="1"/>
  <c r="Y11" s="1"/>
  <c r="K11" l="1"/>
  <c r="Z11" s="1"/>
  <c r="AA11" s="1"/>
  <c r="AL11" s="1"/>
  <c r="K12"/>
  <c r="L11" l="1"/>
  <c r="L12"/>
  <c r="Z12"/>
  <c r="AA12" s="1"/>
  <c r="AL12" s="1"/>
  <c r="K10"/>
  <c r="J10"/>
  <c r="Y10" s="1"/>
  <c r="K22" l="1"/>
  <c r="Z10"/>
  <c r="Z22" s="1"/>
  <c r="Y22"/>
  <c r="L10"/>
  <c r="L22" s="1"/>
  <c r="J22"/>
  <c r="AA10" l="1"/>
  <c r="AL10" s="1"/>
  <c r="AL22" s="1"/>
  <c r="AA22"/>
  <c r="AA77" s="1"/>
  <c r="AA329" s="1"/>
  <c r="G9" i="3"/>
  <c r="Y77" i="2"/>
  <c r="Y329" s="1"/>
  <c r="L77"/>
  <c r="L329" s="1"/>
  <c r="K329"/>
  <c r="K77"/>
  <c r="J77"/>
  <c r="J329" s="1"/>
  <c r="H9" i="3"/>
  <c r="H12" s="1"/>
  <c r="Z77" i="2"/>
  <c r="Z329" s="1"/>
  <c r="C6" i="18" l="1"/>
  <c r="H68" i="3"/>
  <c r="H92" s="1"/>
  <c r="L76"/>
  <c r="I9"/>
  <c r="G12"/>
  <c r="C5" i="18" s="1"/>
  <c r="S9" i="3"/>
  <c r="S12" s="1"/>
  <c r="S68" s="1"/>
  <c r="H80" s="1"/>
  <c r="AL77" i="2"/>
  <c r="AL329" s="1"/>
  <c r="F5" i="18" l="1"/>
  <c r="G5"/>
  <c r="H5" s="1"/>
  <c r="C21"/>
  <c r="K76" i="3"/>
  <c r="G68"/>
  <c r="H91" s="1"/>
  <c r="T9"/>
  <c r="T12" s="1"/>
  <c r="T68" s="1"/>
  <c r="I12"/>
  <c r="I68" s="1"/>
  <c r="H76" l="1"/>
  <c r="H93"/>
  <c r="P73"/>
  <c r="H11" i="18"/>
  <c r="H7"/>
  <c r="H15"/>
  <c r="C22"/>
  <c r="L50" i="3"/>
  <c r="L68" s="1"/>
  <c r="H77" l="1"/>
  <c r="P70"/>
  <c r="P71" s="1"/>
  <c r="F21" i="18"/>
  <c r="F22" s="1"/>
</calcChain>
</file>

<file path=xl/sharedStrings.xml><?xml version="1.0" encoding="utf-8"?>
<sst xmlns="http://schemas.openxmlformats.org/spreadsheetml/2006/main" count="1890" uniqueCount="779">
  <si>
    <t>Nr.</t>
  </si>
  <si>
    <t xml:space="preserve">Referenca e Rezultatit me produktet e programit buxhetor                       </t>
  </si>
  <si>
    <t xml:space="preserve">Afati i zbatimit </t>
  </si>
  <si>
    <t>1.1.1</t>
  </si>
  <si>
    <t>1.1.2</t>
  </si>
  <si>
    <t>1.1.3</t>
  </si>
  <si>
    <t>1.2.1</t>
  </si>
  <si>
    <t>1.2.2</t>
  </si>
  <si>
    <t>1.2.3</t>
  </si>
  <si>
    <t>1.2.4</t>
  </si>
  <si>
    <t>1.2.5</t>
  </si>
  <si>
    <t>1.3.1</t>
  </si>
  <si>
    <t>1.3.2</t>
  </si>
  <si>
    <t>1.3.3</t>
  </si>
  <si>
    <t>1.3.4</t>
  </si>
  <si>
    <t>2.1.1</t>
  </si>
  <si>
    <t>2.1.2</t>
  </si>
  <si>
    <t>2.1.3</t>
  </si>
  <si>
    <t>2.1.4</t>
  </si>
  <si>
    <t>2.2.2</t>
  </si>
  <si>
    <t>2.2.1</t>
  </si>
  <si>
    <t>2.2.3</t>
  </si>
  <si>
    <t>2.2.4</t>
  </si>
  <si>
    <t>2.3.1</t>
  </si>
  <si>
    <t>2.3.2</t>
  </si>
  <si>
    <t>3.1.1</t>
  </si>
  <si>
    <t>3.1.2</t>
  </si>
  <si>
    <t>3.2.1</t>
  </si>
  <si>
    <t>3.2.2</t>
  </si>
  <si>
    <t>3.2.3</t>
  </si>
  <si>
    <t>3.2.4</t>
  </si>
  <si>
    <t>3.2.5</t>
  </si>
  <si>
    <t>3.3.1</t>
  </si>
  <si>
    <t>3.3.2</t>
  </si>
  <si>
    <t>3.3.3</t>
  </si>
  <si>
    <t>3.3.4</t>
  </si>
  <si>
    <t>4.1.1</t>
  </si>
  <si>
    <t>4.2.2</t>
  </si>
  <si>
    <t>4.1.2</t>
  </si>
  <si>
    <t>4.2.3</t>
  </si>
  <si>
    <t>4.2.1</t>
  </si>
  <si>
    <t>5.1.1</t>
  </si>
  <si>
    <t>5.1.2</t>
  </si>
  <si>
    <t>5.1.3</t>
  </si>
  <si>
    <t>5.1.4</t>
  </si>
  <si>
    <t>5.1.5</t>
  </si>
  <si>
    <t>5.2.1</t>
  </si>
  <si>
    <t>5.2.2</t>
  </si>
  <si>
    <t>5.2.3</t>
  </si>
  <si>
    <t>5.3.1</t>
  </si>
  <si>
    <t>5.3.2</t>
  </si>
  <si>
    <t>5.3.3</t>
  </si>
  <si>
    <t>6.1.1</t>
  </si>
  <si>
    <t>6.1.2</t>
  </si>
  <si>
    <t>6.1.3</t>
  </si>
  <si>
    <t>6.2.1</t>
  </si>
  <si>
    <t>6.2.2</t>
  </si>
  <si>
    <t>6.2.3</t>
  </si>
  <si>
    <t>7.1.1</t>
  </si>
  <si>
    <t>7.1.2</t>
  </si>
  <si>
    <t>7.1.3</t>
  </si>
  <si>
    <t>7.2.1</t>
  </si>
  <si>
    <t>7.3.1</t>
  </si>
  <si>
    <t>7.3.2</t>
  </si>
  <si>
    <t>7.3.3</t>
  </si>
  <si>
    <t>7.3.4</t>
  </si>
  <si>
    <t xml:space="preserve">Institucionet përgjegjëse </t>
  </si>
  <si>
    <t>Kosto Objektivi specifik 2.1</t>
  </si>
  <si>
    <t>Kosto Objektivi specifik 2.2</t>
  </si>
  <si>
    <t>Kosto Objektivi specifik 2.3</t>
  </si>
  <si>
    <t>Nuk ka informacion</t>
  </si>
  <si>
    <t>Kosto Objektivi specifik 3.1</t>
  </si>
  <si>
    <t>Kosto Objektivi specifik 3.2</t>
  </si>
  <si>
    <t>Kosto Objektivi specifik 3.3</t>
  </si>
  <si>
    <t>!!!</t>
  </si>
  <si>
    <t>4.1.3</t>
  </si>
  <si>
    <t>4.1.4</t>
  </si>
  <si>
    <t>Kosto Objektivi specifik 4.1</t>
  </si>
  <si>
    <t>Kosto Objektivi specifik 4.2</t>
  </si>
  <si>
    <t>Kosto Objektivi specifik 5.1</t>
  </si>
  <si>
    <t>Kosto Objektivi specifik 5.2</t>
  </si>
  <si>
    <t>Kosto Objektivi specifik 5.3</t>
  </si>
  <si>
    <t>Kosto Objektivi specifik 6.1</t>
  </si>
  <si>
    <t>Kosto Objektivi specifik 6.2</t>
  </si>
  <si>
    <t>Kosto Objektivi specifik 7.1</t>
  </si>
  <si>
    <t>Kosto Objektivi specifik 7.2</t>
  </si>
  <si>
    <t>Kosto Objektivi specifik 7.3</t>
  </si>
  <si>
    <t>Korente</t>
  </si>
  <si>
    <t>Kapitale</t>
  </si>
  <si>
    <t>Total BSH</t>
  </si>
  <si>
    <t>Total FH</t>
  </si>
  <si>
    <t>Qëllimi i Politikës I:  
Përmirësimi i Cilësisë Saktësisë dhe Konsistencës së të Dhënave të Sektorit të furnizimit me ujë dhe kanalizime</t>
  </si>
  <si>
    <t>Total Kosto</t>
  </si>
  <si>
    <t xml:space="preserve">Kosto Korente </t>
  </si>
  <si>
    <t>Kosto kapitale</t>
  </si>
  <si>
    <t>Total kosto</t>
  </si>
  <si>
    <t>Hendeku financiar
2023-2030
(në Lekë)</t>
  </si>
  <si>
    <t>Burimi i mbulimit deri ne 2022</t>
  </si>
  <si>
    <t>Qëllimi i Politikës I</t>
  </si>
  <si>
    <t>Qëllimi i Politikës II</t>
  </si>
  <si>
    <t>Qëllimi i Politikës III</t>
  </si>
  <si>
    <t>Qëllimi i Politikës IV</t>
  </si>
  <si>
    <t>Qëllimi i Politikës V</t>
  </si>
  <si>
    <t>Qëllimi i Politikës VI</t>
  </si>
  <si>
    <t>Qëllimi i Politikës VII</t>
  </si>
  <si>
    <t>Kosto Korente</t>
  </si>
  <si>
    <t>Kosto Kapitale</t>
  </si>
  <si>
    <t>Buxheti dhe Donatoret</t>
  </si>
  <si>
    <t>TOTALI [Leke]</t>
  </si>
  <si>
    <t>TOTALI [Euro]</t>
  </si>
  <si>
    <t>1 euro 124 Leke</t>
  </si>
  <si>
    <t>Titulli</t>
  </si>
  <si>
    <t>Programi buxhetor</t>
  </si>
  <si>
    <t xml:space="preserve">Emri i BP/dhe kodi  </t>
  </si>
  <si>
    <t>Institucioni përgjegjës</t>
  </si>
  <si>
    <t>Institucionet kontribuese</t>
  </si>
  <si>
    <t xml:space="preserve">Afati i Zbatimit </t>
  </si>
  <si>
    <t>Afati Fillimit</t>
  </si>
  <si>
    <t xml:space="preserve"> Kosto Total</t>
  </si>
  <si>
    <t>Kostot treguese/2021</t>
  </si>
  <si>
    <t>Kostot treguese/2022</t>
  </si>
  <si>
    <t>Kostot treguese/2023</t>
  </si>
  <si>
    <t>Kostot treguese/2024</t>
  </si>
  <si>
    <t>Kostot treguese/2025</t>
  </si>
  <si>
    <t>Kostot treguese totale</t>
  </si>
  <si>
    <t>Burimi I financimit</t>
  </si>
  <si>
    <t>Totali BSH</t>
  </si>
  <si>
    <t>PBA 2021-2023 (në lekë)</t>
  </si>
  <si>
    <t>Financim i Huaj  (në  lekë)</t>
  </si>
  <si>
    <t xml:space="preserve">Emri donatorit/Titullin e projektit </t>
  </si>
  <si>
    <t>Total Financim i Huaj</t>
  </si>
  <si>
    <t>Burimi i Financimit</t>
  </si>
  <si>
    <t xml:space="preserve">Hendeku financiar </t>
  </si>
  <si>
    <t xml:space="preserve"> Kosto Totale</t>
  </si>
  <si>
    <t>Buxheti 2024-2025 (në lekë)</t>
  </si>
  <si>
    <t>Qëllimi strategjik 2. Garantimi i aksesit të barabartë në sistemin e drejtësisë për të gjithë personat me aftësi të kufizuara</t>
  </si>
  <si>
    <t>Objektivi Specifik: Rritja e numrit të individëve me aftësi të kufizuara që përdorin shërbimet e ndihmës juridike falas</t>
  </si>
  <si>
    <t>Objektivi Specifik:  Njohja e barabartë para ligjit e personave me aftësi të kufizuara, veçanërisht i personave me aftësi të kufizuara mendore</t>
  </si>
  <si>
    <t>Objektivi specifik: Garantimi i respektimit të të drejtave të personave me aftësi të kufizuara në institucionet e dënimit, në përputhje me standardet ndërkombëtare</t>
  </si>
  <si>
    <t>Qëllimi strategjik  3. Rritja e pjesëmarrjes në tregun e punës dhe nxitja e mundësive të barabarta për punë të denjë për personat me aftësi të kufizuar</t>
  </si>
  <si>
    <t>Objektivi specifik: Rritja e cilësisë në shërbimet e aftësimit për të nxitur përfshirjen e personave me aftësi të kufizuar në tregun e punës</t>
  </si>
  <si>
    <t>Masat</t>
  </si>
  <si>
    <t>Objektivi specifik: Përmirësimi i cilësisë dhe efikasitetit të shërbimeve që synojnë nxitjen e integrimit të personave me aftësi të kufizuar në tregun e punës</t>
  </si>
  <si>
    <t>Qëllimi strategjik 4. Ofrimi i arsimit gjithëpërfshirës dhe cilësor për të gjithë fëmijët me aftësi të kufizuara</t>
  </si>
  <si>
    <t>Qëllimi strategjik  8. Krijimi i sinergjive ndërmjet institucioneve dhe sektorëve të ndryshëm për nxitjen dhe monitorimin e të drejtave të personave me aftësi të kufizuara në mënyrë të plotë, të vazhdueshme dhe të qëndrueshme</t>
  </si>
  <si>
    <t>Qëllimi strategjik  7. Garantimi i përfshirjes së plotë të personave me aftësi të kufizuara në jetën publike dhe politike në Shqipëri dhe mundësimi i mbrojtjes së interesave të tyre</t>
  </si>
  <si>
    <t>8.1.1</t>
  </si>
  <si>
    <t>8.1.2</t>
  </si>
  <si>
    <t>8.1.3</t>
  </si>
  <si>
    <t>Objektivi specifik: Sigurimi i një bashkëpunimi dhe koordinimi më të mirë ndërinstitucional në nivel horizontal dhe vertikal me qëllim promovimin e të drejtave të personave me aftësi të kufizuara</t>
  </si>
  <si>
    <t>Objektivi specifik: Monitorimi i pabarazive me të cilat përballen  persona me aftësi të kufizuar dhe koordinimi i politikave publike që synojnë uljen e tyre</t>
  </si>
  <si>
    <t>8.2.1</t>
  </si>
  <si>
    <t>8.2.2</t>
  </si>
  <si>
    <t>8.2.3</t>
  </si>
  <si>
    <t>8.2.4</t>
  </si>
  <si>
    <t>Objektivi specifik: Ngritja e sistemit per mbledhjen e indikatorëve të  monitorimit te shoqeruar me pasaportat për cdo indikator</t>
  </si>
  <si>
    <t>8.3.1</t>
  </si>
  <si>
    <t>8.3.2</t>
  </si>
  <si>
    <t>Objektivi specifik: Nxitja e bashkëpunimit rajonal për zbatimin e Konventës së Kombeve të Bashkuara për të Drejtat e Personave me Aftësi të Kufizuara</t>
  </si>
  <si>
    <t>8.4.1</t>
  </si>
  <si>
    <t>8.4.2</t>
  </si>
  <si>
    <t>8.4.3</t>
  </si>
  <si>
    <t>Kosto totale e Planit të Veprimit = QP I + QP II + QP III + QP IV + QP V + QP VI + QP VII+QP VIII</t>
  </si>
  <si>
    <t>Organizimi i dy konferencave rajonale  për shkëmbimin e praktikave pozitive në trajtimin e fushave të reformave (d.m.th. vendimmarrja e mbështetur, përgatitja e shërbimeve komunitare, nxitja e sipërmarrjes sociale)</t>
  </si>
  <si>
    <t>Së bashku me organizatat e personave me aftësi të kufizuar, pjesëmarrja në konferenca rajonale në BE dhe rajonin e Ballkanit për grumbullimin e mësimeve të nxjerra dhe informacionit për praktikën pozitive</t>
  </si>
  <si>
    <t>Kërkimi i shembujve të praktikave pozitive në çdo sektor dhe organizimi i një vizite studimore për përfaqësues të ministrive, bashkive dhe organizatave të personave me aftësi të kufizuar që do të informohen</t>
  </si>
  <si>
    <t>Kosto Objektivi specifik 8.4</t>
  </si>
  <si>
    <t xml:space="preserve">Rishikimi i VKM per statistikat </t>
  </si>
  <si>
    <t>MSHMS</t>
  </si>
  <si>
    <t>INSTAT</t>
  </si>
  <si>
    <t>8.2.5</t>
  </si>
  <si>
    <t>8.2.6</t>
  </si>
  <si>
    <t>8.2.7</t>
  </si>
  <si>
    <t>8.2.8</t>
  </si>
  <si>
    <t xml:space="preserve">Kryerja e vizitave në NJQV të ndryshme për të mbledhur të dhëna për zbatimin e Planit të Veprimit dhe për të mbajtur shënim sfidat që duhet të diskutohen në takimet e Këshillit Kombëtar ndërministroe </t>
  </si>
  <si>
    <t>Kosto Objektivi specifik 8.2</t>
  </si>
  <si>
    <t>Kosto Objektivi specifik 8.3</t>
  </si>
  <si>
    <t>Në fillim të çdo viti kalendarik, takim me të gjitha ministritë e linjës përgjegjëse për zbatimin e Planit të Veprimit për të diskutuar veprimet prioritare dhe bashkëpunimin e mundshëm me aktorët e tjerë</t>
  </si>
  <si>
    <t xml:space="preserve">Kryesimi dhe ofrimi i inputeve të takimeve të Këshillit Kombëtar të Aftësisë së Kufizuar </t>
  </si>
  <si>
    <t>Organizimi i takimeve periodike me pikat fokale për aftësinë e kufizuar  në ministritë e linjës dhe bashki për të dhënë informacione të përditësuara për zbatimin e Planit të Veprimit dhe zgjidhjen e problemeve</t>
  </si>
  <si>
    <t xml:space="preserve">Publikimi i raportit të dytë dhe të tretëtë progresit për zbatimin e Konventës së Kombeve të Bashkuara </t>
  </si>
  <si>
    <t xml:space="preserve">Botimi i një raporti vjetor narrativ dhe financiar për zbatimin e Planit të Veprimit për Personat me Aftësi të Kufizuar </t>
  </si>
  <si>
    <t>Rishikimi i Ligjit kuadër “Për Përfshirjen dhe Aksesueshmërinë “ në funksion të përmirësimit të monitorimit dhe koordinimit të politikave për aftësinë e kufizuar në të gjitha nivelet.</t>
  </si>
  <si>
    <t>Rivlerësimi i analizave të legjislacionit kombëtar  të kryera në 5 vitet e fundit lidhur me përputhshmërinë e tij me KDPAK dhe përcaktimi i inisiativave që duhen ndermarrë për rregullimet e duhura ligjore.</t>
  </si>
  <si>
    <t>Organizimi i aktiviteteve promovuese të inisiativave të mira duke shpallur Bashkitë më të mira të vitit lidhur me realizimin e të drejtave të personave me aftësi të kufizuar</t>
  </si>
  <si>
    <t>8.1.5</t>
  </si>
  <si>
    <t>8.1.4</t>
  </si>
  <si>
    <t xml:space="preserve">Organizimi i takimeve periodike të strukturuara me pjesëmarrjen e ministrive të linjës , NJQV-ve dhe grupeve të interesit. </t>
  </si>
  <si>
    <t>NJVQV</t>
  </si>
  <si>
    <t>Ministritë e Linjës/NJVQV/OJF</t>
  </si>
  <si>
    <t>Objektivi specifik: Rritja e mundësive për personat me aftësi të kufizuara për të marrë pjesë në aktivitete dhe evenimente sportive kombëtare dhe ndërkombëtare</t>
  </si>
  <si>
    <t xml:space="preserve">Masat </t>
  </si>
  <si>
    <t xml:space="preserve">Mbështetje e pjesëmarrjes së personave me aftësi të kufizuara në takimet e Komitetit Olimpik jashtë vendit </t>
  </si>
  <si>
    <t>Special Olympics Albania</t>
  </si>
  <si>
    <t>Përfshirja në vijimësi e të paktën një personi me aftësi të kufizuara si anëtar i Komitetit Kombëtar të Sporteve</t>
  </si>
  <si>
    <t>MASR</t>
  </si>
  <si>
    <t>Kryerja e një studimi për praktikat e mira të vendeve të tjera lidhur me mundësinë e  krijimit dhe financimit të një federate sportesh të personave me aftësi të kufizuara</t>
  </si>
  <si>
    <t>Përdorimi i rezultateve të studimit për hartimin e kurrikulave të plota që udhëzojnë kryerjen e sportit të unifikuar / për personat me aftësi të kufizuara (databazë e metodologjive, udhëzuesve sportivë, guidat e trajnerit për sportin e unifikuar, moduli trajnues)</t>
  </si>
  <si>
    <t xml:space="preserve">Organizimi i aktiviteteve promovuese për sportistët me aftësi të kufizuara me qëllim mundësimin e financimit në pëprputhje me legjislacionin </t>
  </si>
  <si>
    <t>7.3.5</t>
  </si>
  <si>
    <t>7.3.6</t>
  </si>
  <si>
    <t>7.3.7</t>
  </si>
  <si>
    <t>7.3.8</t>
  </si>
  <si>
    <t xml:space="preserve">Mbështetja e federatave sportive që zbatojnë projekte me sportistë me aftësi të kufizuara </t>
  </si>
  <si>
    <t>Trajnimi dhe specializimi i mësuesve të edukimit fizik për të punuar me fëmijë me aftësi të kufizuara</t>
  </si>
  <si>
    <t>Rritja e numrit të qendrave që ofrojnë stërvijte gjithëpërfshirëse</t>
  </si>
  <si>
    <t>Objektivi specifik: Promovimi i punës së artistëve me aftësi të kufizuara dhe përfshirja e personave me aftësi të kufizuara në jetën artistike</t>
  </si>
  <si>
    <t>Objektivi specifik: Rritja e numrit të personave me aftësi të kufizuara në procesin e votimit, dhënia e mundësisë për të mbrojtur interesat e tyre dhe për të marrë pjesë në vendimmarrje</t>
  </si>
  <si>
    <t>KQZ</t>
  </si>
  <si>
    <t>7.1.4</t>
  </si>
  <si>
    <t>7.1.5</t>
  </si>
  <si>
    <t>7.1.6</t>
  </si>
  <si>
    <t>7.1.7</t>
  </si>
  <si>
    <t>7.1.8</t>
  </si>
  <si>
    <t>Promovimi i përfaqësimit dhe pjesëmarrjes së individëve me aftësi te kufizuara në këshillat bashkiakë , nëpërmjet vendosjes së kuotave të ngjashme me kuotat gjinore.(analiza studimore eksperiencabashkekohore,ndryshime legjislative etj)</t>
  </si>
  <si>
    <t>Përfshirja e interpretimit të gjuhës së shenjavegjatë fushatave zgjedhore,
reklamave politike, spoteve informuese që transmetohen në periudhën parazgjedhore, në zbatim të Kodit të  Transmetimit të miratuar nga  AMA</t>
  </si>
  <si>
    <t>7.2.2</t>
  </si>
  <si>
    <t>7.2.3</t>
  </si>
  <si>
    <t>7.2.4</t>
  </si>
  <si>
    <t>7.2.5</t>
  </si>
  <si>
    <t>7.2.6</t>
  </si>
  <si>
    <t>Përmirësimi i sistemit të mbledhjes së të dhënave të MK, me qëllim futjen e statistikave për personat me aftësi të kufizuar</t>
  </si>
  <si>
    <t>MK</t>
  </si>
  <si>
    <t xml:space="preserve">Hartimi i një Udhëzimi lidhur me monitorimin e të gjitha institucioneve kulturore në varësi të pushtetit qendror dhe atij vendor, për aplikimin e tarifave të reduktuara dhe hyrjen falas në të gjitha muzetë apo objektet e tjera </t>
  </si>
  <si>
    <t xml:space="preserve">Financimi i projekteve artistiko/ kulturore të propozuar nga një organizatë apo artist me aftësi të kufizuara </t>
  </si>
  <si>
    <t>Vendosja e kuotave ose  pikëve bonus në favor të propozimeve të organizatave/personave me AK gjatë procesit të  përzgjedhjes së projekteve të financuara nga MK dhe vlerësimi i impaktit të ndryshimeve të bëra</t>
  </si>
  <si>
    <t>Depozitimi i axhendës dhe kalendarit të aktiviteteve kulturore/artistikenga MK pranë Këshillit Kombëtar për Aftësinë e Kufizuar(KKAK)  dhe i thirrjeve për zhvillimin e projekteve.</t>
  </si>
  <si>
    <t>Nënshkrimi i një marrëveshje .bashkëpunimi me organizatat e personave me aftësi të kufizuara për promovimin e pjesëmarrjes së artistëve me AK në aktivitetet kulturore/artistikesi dhe i aktiviteteve të organizuara nga vet personat me aftësi të kufizuara</t>
  </si>
  <si>
    <t xml:space="preserve">Objektivi specifik: Lehtësimi i ofrimit të shërbimeve shëndetësore për personat me aftësi të kufizuara </t>
  </si>
  <si>
    <t>Qëllimi strategjik  6. Realizimi i një kujdesi shëndetësor të aksesueshëm e të përballueshëm për të gjitha kategoritë e personave me aftësi të kufizuara</t>
  </si>
  <si>
    <t>Objektivi specifik: Zhvillimi i shërbimeve të parandalimit, ndërhyrjes së hershme dhe rehabilitimit për fëmijët dhe të rriturit me aftësi të kufizuara</t>
  </si>
  <si>
    <t>6.1.4</t>
  </si>
  <si>
    <t>6.1.5</t>
  </si>
  <si>
    <t>6.1.6</t>
  </si>
  <si>
    <t>6.1.7</t>
  </si>
  <si>
    <t>Organizimi i sesioneve të vazhdueshme të trajnimit të pikave te kontaktit të përcaktuara lidhur me mënyrat bashkëkohore për ofrimin e trajtimit dhe shërbimeve për personat me aftësi të kufizuara</t>
  </si>
  <si>
    <t>Vendosja e nje pike kontakti për cështjet që lidhen me personat me aftësi të kufizuar prane operatoreve DROSHKSH dhe NJV</t>
  </si>
  <si>
    <t>Hartimi i një udhëzimi të vecantë për lehtësimin e vizitave mjekësore në institucionet shëndetësore parësore për personat me aftësi të kufizuara</t>
  </si>
  <si>
    <t>Rishikimi i rregullores për tësiguruar ofrimin e shërbimit stomatologjik falas nëpër shkolla edhe për ata fëmijë me aftësi të kufizuara që nuk frekuentojnë shkollën por që banojnë në të njëjtën bashki</t>
  </si>
  <si>
    <t>Fuqizimi i kabineteve ekzistuese stomatologjike te shkollave ne nivel kombetar dhe krijimit të kabineteve të reja në 4 Drejtori Rajonale</t>
  </si>
  <si>
    <t>Kryerja e një studimi fizibiliteti me qëllim sigurimin e trajtimit stomatologjik të fëmijëve me çrregullime të spektrit të autizmit në të gjithë vendin</t>
  </si>
  <si>
    <t>Trajnim i stafit multidisiplinor të sherbimeve të specializuara  me baze komunitare dhe  qendrave që ofrojnë kujdes të shëndetit mendor mbi qasjen bazuar në komunitet për personat me aftësi të kufizuara intelektuale,sipas toolkiteve të rekomanduara nga OBSH</t>
  </si>
  <si>
    <t>6.2.4</t>
  </si>
  <si>
    <t>6.2.5</t>
  </si>
  <si>
    <t>6.2.6</t>
  </si>
  <si>
    <t>6.2.7</t>
  </si>
  <si>
    <t>6.2.8</t>
  </si>
  <si>
    <t>6.2.9</t>
  </si>
  <si>
    <t>6.2.10</t>
  </si>
  <si>
    <t>6.2.11</t>
  </si>
  <si>
    <t>6.2.12</t>
  </si>
  <si>
    <t>6.2.13</t>
  </si>
  <si>
    <t>Hartimi i planeve individuale të shërbimeve të duhura specifike për fëmijët me aftësi të kufizuara të diagnostikuar kohët e fundit dhe familjet e tyre</t>
  </si>
  <si>
    <t>Parashikimi dhe kryerja e aktiviteteve promocionale për 
parandalimin e shkaqeve që mund të sjellin aftësi të
kufizuar tek fëmijët.</t>
  </si>
  <si>
    <t>Organizimi i sesioneve informuese për prindërit e fëmijëve me aftësi të
kufizuara për prezantimin e paketës dhe llojin e  shërbimeve shëndetësore qëofrohen nga institucionetpublike</t>
  </si>
  <si>
    <t>Hartimi dhe shpërndarja e fletepalosjeve informuese në nivel vendor nëpërmjet DROSHKSH lidhurme sëmundje të ndryshme që  mund të shkaktojnë aftësi të kufizuara sipas Klasifikimit  Ndërkombëtar të Sëmundjeve (ICO, IFC, sipas OBSH-së)</t>
  </si>
  <si>
    <t>Organizimi i aktiviteteve të posacme informuese, në bashkëpunim me ANAD,  përpersonat që nuk dëgjojnë  në lidhje me shërbimet shëndetësore</t>
  </si>
  <si>
    <t>Kryerja e një analize të nevojave  për orteza dhe proteza për personat me
AK që kanë nevojë për to dhe  identifikimi i kompanive private  në treg që mund t’i prodhojnë  ato</t>
  </si>
  <si>
    <t>Planifikimi dhe mbulimi financiar i shpenzimevepër orteza, proteza, karrige me rrota dhe mjete të tjera ndihmëse për ata persona meaftësi të kufizuara të vlerësuar për këtë lloj përfitimi nga komisioni</t>
  </si>
  <si>
    <t>Kryerja e trajnimeve specifike të ekipevemultidisiplinare të vlerësimit tëaftësisë së kufizuar për t’i  aftësuar ata në vlerësimin e  nevojave që individët kanë përkarrige me rrota dhe mjete tëtjera ndihmëse, bazuar nëdiagnozë dhe specifikimeindividuale</t>
  </si>
  <si>
    <t>Hartimi i një udhëzuesi i shoqëruar me protokollin për diagnostikimin ehershëmtëmungesës së dëgjimit tekfëmijët e  sapolindur, sipas standarteve ndërkombëtare</t>
  </si>
  <si>
    <t>Dehospitalizimi i të gjithë personave me aftësi të kufizuara intelektuale që aktualisht vazhdojnë të jenë rezident në spitalet psikiatrike (duke ju ofruar alternativa të tjera strehimi, shih objektivin 3 nën Kujdesin Social) nepermjet ngritjes se sherbimeve komunitare</t>
  </si>
  <si>
    <t>Hartimi i standarteve lidhur me shërbimet shëndetësore që u jepen banorëve të shtëpive sociale dhe të mbështetura për personat me aftësi të kufizuara intelektuale</t>
  </si>
  <si>
    <t>Krijimi i një qendre kombëtare rehabilitimi për të koordinuar shërbimet në nivel lokal dhe për të trajtuar personat që janë bërë gjatë jetës me AK apo për të aftësuar rastet me aftësi të kufizuara të lindura</t>
  </si>
  <si>
    <t>Prokurimi i shërbimeve të rehabilitimit nga ofruesit publik dhe jopublik</t>
  </si>
  <si>
    <t>Objektivi strategjik: Monitorimi i efekteve të vlerësimit të aftësisësë kufizuar nga komisionet e reja, sipas modelit bio-psiko-social</t>
  </si>
  <si>
    <t>Trajnimi i personelit të shërbimeve sociale për te  aplikuar ne menyren e duhur sherbimin e pershtatshem per lloje te ndryshme teaftësise së kufizuar, duke përfshirë  ofrimin e shërbimeve bazë në gjuhën e shenjave</t>
  </si>
  <si>
    <t>Organizimi i takimeve konsultuese me grupet e interesit dhe shoqatat përfaqsuese të tyre për të marrë vrejtjet dhe sugjerimet e tyre me qëllim përmirësimin e vazhdueshëm të punës së komisioneve të vlerësimit të aftësisë së kufizuar (KVAK)</t>
  </si>
  <si>
    <t>SHSSH</t>
  </si>
  <si>
    <t>Kryerja e një vlerësimi lidhur me aplikimin e vlerësimit sipas modelit bio-psiko-social në rajonin e Tiranës dhe impaktin e tij në jetesën e personave me aftësi të kufizuar dhe prezantimi i rezultateteve në KKAK</t>
  </si>
  <si>
    <t>Objektivi specifik: Ofrimi i shërbimeve të integruara sociale me anë të kombinimit të pagesave me para në dorë (cash) me kujdesin social cilësor</t>
  </si>
  <si>
    <t>Kryerja e një studimi lidhur me impaktin e aplikimit të sitemit të shërbimeve të reja të integruara të ofruara në  qendrat komunitare</t>
  </si>
  <si>
    <t>Pilotimi i mbledhjes së të dhënave për numrin personave me aftësi të  kufizuara që kanë nevojë  për shërbime sociale dhe  llojin e shërbimeve nga komisionet e reja të vlerësimit të AK dhe ballafaqimi i tyre me të dhënat e NJVRN në 3 bashki të mëdha</t>
  </si>
  <si>
    <t>SHSSH/NJVQV</t>
  </si>
  <si>
    <t>5.2.4</t>
  </si>
  <si>
    <t>5.2.5</t>
  </si>
  <si>
    <t>5.2.6</t>
  </si>
  <si>
    <t>5.2.7</t>
  </si>
  <si>
    <t>Kryerja e një studimi fizibiliteti lidhur me mundësinë e ngritjes së një sistemi të shoqërimit të personave të verbër nga qentë ndihmës duke u bazuar tek praktikat e ngjashme në vendet e tjera.</t>
  </si>
  <si>
    <t>Analizë dhe rishikimi i legjislacionit lidhur me zgjerimin e përfitimit të mjeteve higjieno-sanitare për të gjithë personat me aftësi të kufizuara të cilëve iu duhen ato sipas vlerësimit nga KVAK</t>
  </si>
  <si>
    <t>Vijimi i organizimit të sesioneve trajnuese për administratorët socialë lokalë që punojnë për të vlerësuar nevojat dhe referuar rastet për shërbime të integruara për personat me aftësi të kufizuara, në të gjitha bashkitë e vendit</t>
  </si>
  <si>
    <t>Zhvillimi i një plani mbështetjeje për përkujdesin social për  personat me aftësi të kufizuara pasi largohen nga institucionet rezidenciale të përkujdesit social, në bashkëpunim me Bashkite(për të paktën 6 muaj)</t>
  </si>
  <si>
    <t>Vlerësimi i aplikimit të standarteve të reja të shërbimeve shoqërore për personat me aftësi të kufizuara, si pjesë e inspektimeve të kryera konform legjislacionit në fuqi</t>
  </si>
  <si>
    <t>5.3.4</t>
  </si>
  <si>
    <t>5.3.5</t>
  </si>
  <si>
    <t>5.3.6</t>
  </si>
  <si>
    <t>5.3.7</t>
  </si>
  <si>
    <t>5.3.8</t>
  </si>
  <si>
    <t>Nxitja e ndërgjegjësimit të institucioneve vendore rreth përgjegjësisë së krijimit të shërbimeve komunitare dhe atyre të krijimit të jetesës së pavarur për personat me aftësi të kufizuar</t>
  </si>
  <si>
    <t>Vijimi i procesit të konsultimit dhe miratimit të draftit të projekt VKM “Për shërbimet e jetesës së pavarur</t>
  </si>
  <si>
    <t>Rritja e numrit të  shërbimeve për mbështetjen e jetesës së pavarur, për personat madhorë me aftësi të kufizuara që dalin nga institucionet rezidencialë apo në cdo rast tjetër sipas nevojave të komunitetit.</t>
  </si>
  <si>
    <t>Ngritja e shtëpive të mbështetura që ofrojnë  shërbime për mbështetjen e jetesës së pavarur të personave me aftësi të kufizuara intelektuale, mbi 25 vjeç, qe jane aktualisht ne spitalet psikiatrike</t>
  </si>
  <si>
    <t>Nxitja dhe formalizimi i shërbimeve të reja jo-publike nga operatorë seriozë nëpërmjet licencimit dhe inspektimit të tyre</t>
  </si>
  <si>
    <t xml:space="preserve">Rishikimi i legjislacionit me qëllim rritjen e mbështetjes për familjet kujdestare që  marrin nën kujdestarinë e tyrefëmijë me aftësi të kufizuar </t>
  </si>
  <si>
    <t>Kryerja e një studimi lidhur me mundësimin e krijimit të skemave të reja të strehimit që mbështesin jetesën e pavarur të personave me AK, duke ju referuar eksperiencave në vendet e tjera</t>
  </si>
  <si>
    <t>MF/Drejtoria e Strehimit</t>
  </si>
  <si>
    <t>4.2.4</t>
  </si>
  <si>
    <t>4.2.5</t>
  </si>
  <si>
    <t>4.2.6</t>
  </si>
  <si>
    <t>Përdorimi i Institutit të Nxënësve që nuk Dëgjojnë dhe Institutit të nxënësve të verbër si qendra burimore, për trajnimin e mësuesve të zakonshëm dhe mësuesve ndihmës në gjuhën e shenjave dhe atë Braille</t>
  </si>
  <si>
    <t xml:space="preserve">Përgatitja e botimeve për specialistët dhe prindërit e fëmijëve me aftësi të kufizuar </t>
  </si>
  <si>
    <t>Ndërtimi i infrastrukturës  së mësimdhënies dhe materialeve didaktike në qendrat burimore</t>
  </si>
  <si>
    <t>Zgjerimi i sistemit arsimor 9 vjecar të Institutit të nxënësve që nuk dëgjojnë duke përfshirë  arsimin e mesëm profesional</t>
  </si>
  <si>
    <t>Ngritja e një grupi pune që do të ndjekë  procesin e shndërrimit të shkollave speciale në qendra burimore, bazuar në eksperiencat ndërkombëtare</t>
  </si>
  <si>
    <t>Shndërrimi i shkollave të specializuara në qendra burimore</t>
  </si>
  <si>
    <t>Rritja e mundësive për pjesëmarrje në arsimin gjithëpërfshirës për fëmijët me lloje të ndryshme të aftësive të kufizuara</t>
  </si>
  <si>
    <t>4.1.5</t>
  </si>
  <si>
    <t>4.1.6</t>
  </si>
  <si>
    <t>4.1.7</t>
  </si>
  <si>
    <t>4.1.8</t>
  </si>
  <si>
    <t>4.1.9</t>
  </si>
  <si>
    <t>4.1.10</t>
  </si>
  <si>
    <t>Hartimi i një Marrëveshje bashkëpunimi ndërmjet MSHMS dhe MASR lidhur me ndërveprimin ndërmjet komisioneve multidisiplinore të vlerësimit të arsimimit për fëmijët me aftësi të kufizuar dhe Komisionit multidisiplinor të vlerësimit të AK</t>
  </si>
  <si>
    <t>Përmirësimi i sistemit statistikor administrativ për fëmijët me aftësi të kufizuara nëpërmjet pasurimit të bazës së të dhënave të fëmijëve me aftësi të kufizuara dhe disagregimit të tyre sipas gjinisë, grupmoshës , llojit të aftësisë së kufizuar, llojit të shërbimit të përshtatshëmndihmës gjatë frekuentimit të mësimit.</t>
  </si>
  <si>
    <t>DRAP</t>
  </si>
  <si>
    <t>Vlerësimi i nevojave për burime didaktike për arsimin e të gjitha kategorive të personave me aftësi të kufizuar .</t>
  </si>
  <si>
    <t>Planifikimi i buxheteve për sigurimin e materialeve didaktike sipas kërkesave specifike të kategorive të ndryshme të fëmijëve me aftësi të kufizuar</t>
  </si>
  <si>
    <t xml:space="preserve">Rregullime të nevojshme ligjore lidhur me ofrimin falas tëtransportit për fëmijët me aftësi të kufizuar nga shtëpia e tyre në institucionin arsimor </t>
  </si>
  <si>
    <t>MFE</t>
  </si>
  <si>
    <t>AKPA</t>
  </si>
  <si>
    <t>3.1.3</t>
  </si>
  <si>
    <t>3.1.4</t>
  </si>
  <si>
    <t>3.1.5</t>
  </si>
  <si>
    <t>3.1.6</t>
  </si>
  <si>
    <t>3.1.7</t>
  </si>
  <si>
    <t>3.1.8</t>
  </si>
  <si>
    <t>3.1.9</t>
  </si>
  <si>
    <t>Përmirësime të kuadrit ligjor e nënligjor të nxitjes së punësimit me qëllim rregullimin e funksionalitetit të Fondit Social të Punësimit</t>
  </si>
  <si>
    <t>Rritja  e  mbështetjes  për  pjesëmarrjen e personave me aftësi të kufizuara në programet e reja të nxitjes së punësimit (PNP)dhe ndërmjetësimit</t>
  </si>
  <si>
    <t>Organizimi i takimeve informuese me organizatat e personave me aftësi të kufizuara për informimin dhe promovimin e përmirësimeve ligjore në favor të punësimit të tyre</t>
  </si>
  <si>
    <t>Vendosja e bashkëpunimit me Universitetet lidhur me marrjen e informacionit ne lidhje me arsimimin gjinine moshen dhe specifikat e punesueshmerise se studentëve me aftësi të kufizuar</t>
  </si>
  <si>
    <t>Objektivi specifik: Rritja e mundësive për punësim dhe vetpunësim për personat me aftësi të kufizuara</t>
  </si>
  <si>
    <t>Organizimi, cdo vit, i prezantimeve në universitete ku të gjithë studentët me aftësi të kufizuara ftohen për promovimin e praktikave profesionale dhe programeve të praktikave profesionale</t>
  </si>
  <si>
    <t>3.2.6</t>
  </si>
  <si>
    <t>3.2.7</t>
  </si>
  <si>
    <t>3.2.8</t>
  </si>
  <si>
    <t>3.2.9</t>
  </si>
  <si>
    <t>3.2.10</t>
  </si>
  <si>
    <t>3.2.11</t>
  </si>
  <si>
    <t>Promovimi i punësimit të studentëve me aftësi të kufizuara që mbarojnë arsimin e lartë në subjektet private dhe publike  brenda programit të praktikave profesionale</t>
  </si>
  <si>
    <t>Financimi i punëdhënësve nëpërmjet Fondit Social të punësimit, për të mundësuar dhe rritur rastet e përshtatjes së vendit të punës</t>
  </si>
  <si>
    <t>Miratimi i paketes te  keshillimit dhe mentorimit te punedhenesve dhe punemarresit me aftësi të kufizuara, si pakete ne kuader te zbatimit te Fondit Social të Punësimit</t>
  </si>
  <si>
    <t>Zgjerimi i përshkrimit të punës të personelit te DRP, me qëllim institucionalizimi i vizitave mujore gjatë gjashtë muajve të parë në vendin e punës</t>
  </si>
  <si>
    <t>Promovimi  i shembujve dhe praktikave të mira të punëdhënësve që punësojnë  persona me aftësi të kufizuar</t>
  </si>
  <si>
    <t>Projektimi i një programi të përbashkët me MSHMS për mbështetjen e sipërmarrjeve sociale që punësojnë persona me aftësi të  kufizuar</t>
  </si>
  <si>
    <t>Rishikimi i kritereve vlerësuese   në sistemin e Menaxhimit të Performancës dhe Sigurimit të Cilësisë së AKPA, me qëllim rritjen e vëmendjes ndaj synimeve të vendosura për rritjen e punësimit të personave me aftësi të kufizuar</t>
  </si>
  <si>
    <t>3.3.5</t>
  </si>
  <si>
    <t>3.3.6</t>
  </si>
  <si>
    <t>3.3.7</t>
  </si>
  <si>
    <t>3.3.8</t>
  </si>
  <si>
    <t>3.3.9</t>
  </si>
  <si>
    <t>Trajnimi i punonjësve  të AKPA në nivel qëndror dhe vendor me qëllim rritjen e nivelit të shërbimeve , trajtimin e  pengesave të hasura nga personat me aftësi të kufizuar në tregun e punës dhe mënyrat e kapërcimit të tyre</t>
  </si>
  <si>
    <t>Hartimi dhe miratimi i udhëzuesve mbi manualet e ofrimit te sherbimeve per punekerkuesin dhe punedhenesin, duke prioritizuar vlerësimin e personave me aftësi të kufizuara lidhur me profilizimin dhe punësueshmërinë</t>
  </si>
  <si>
    <t>Realizimi i  fushatave sensibilizuese për afrimin pranë zyrave të punësimit të personave me aftësi të kufizuara që janë në kërkim të një pune</t>
  </si>
  <si>
    <t>Përmirësimi dhe zgjerimi i bazës së të dhënave të AKPA me informacion specifik për personat me aftësi të kufizuar si punëkërkues të papunë dhe në përputhje me të dhënat e marra nga Rregjistri elektronik i aftësisë së kufizuar</t>
  </si>
  <si>
    <t>Trajnimi i punonjesve të ZP për përdorimin e bazës së re të të dhënave statistikore për PuPa me aftësi të kufizuara me qëllim profilizimin dhe përshtatjen sa më të mirë në PNP dhe atyre të formimit profesional.</t>
  </si>
  <si>
    <t>Përgatitja e mjeteve të inspektimit (listat e kontrollit, vërejtjet me paralajmërim për punëdhënësit) dhe punonjësve të trajnimit të Inspektoratit Shtetëror të Punës në të gjithë vendin për zbatimin e ligjit të lidhur me punësimin e personave me aftësi të kufizuar</t>
  </si>
  <si>
    <t>Kryerja e një studimi për pozicionin e personave me aftësi të kufizuara në tregun e punës (duke përfshirë të dhëna sasiore për nivelin e punësimit, kohëzgjatjen e punësimit, sektorët e punësimit, nivelet e kualifikimit dhe faktorë të tjerë)me qëllim nxitjen e punësimit afatgjatë</t>
  </si>
  <si>
    <t xml:space="preserve">Krijimi i paketave informuese ne lidhje me kuotat për punësimin e personave me aftësi të kufizuar, detyrimin e punedhenesve per kontribute ne kuader te Fondit Social të Punësimit dhe mundesite e perfitimeve nga ky Fond </t>
  </si>
  <si>
    <t>Plani Kombëtar i Veprimit për Personat me Aftësi të Kufizuara
 2021-2025</t>
  </si>
  <si>
    <t>Informimi i organizatave përfaqësuese  të  personave me aftësi të kufizuara mbi legjislacionin e ri për  shërbimet e ndihmës juridike  falas dhe kriteret e përfitimit të saj</t>
  </si>
  <si>
    <t>DNJF/MD</t>
  </si>
  <si>
    <t>2.1.5</t>
  </si>
  <si>
    <t>2.1.6</t>
  </si>
  <si>
    <t>2.1.7</t>
  </si>
  <si>
    <t>2.1.8</t>
  </si>
  <si>
    <t>2.1.9</t>
  </si>
  <si>
    <t>2.1.10</t>
  </si>
  <si>
    <t>Ngritja e qendrave rajonale të ndihmës juridike parësore në të gjitha rajonet e vendit</t>
  </si>
  <si>
    <t>Trajnimi i studentëve të klinikave të ligjit, dhe juristëve të OJF-ve të autorizuara nga MD për ofrimin e NJPF,  lidhur me realizimin e tëdrejtave të personave me aftësi të kufizuara sipas qasjes së KDPAK</t>
  </si>
  <si>
    <t>Trajnimi i avokatëve që japin ndihmën juridike dytësore lidhur me trajtimin bashkëkohor të cështjeve të aftësisë së kufizuar sipas modelit që sjell KDPAK dhe certifikimi i tyre</t>
  </si>
  <si>
    <t>Hartimi i formularëve të aplikimit për NJF , të aksesueshëm për personat e verbër (gjuha Braille)</t>
  </si>
  <si>
    <t>Ofrimi i shërbimit të NJF në gjuhën e shenjave për personat që nuk dëgjojnë</t>
  </si>
  <si>
    <t>ANAD</t>
  </si>
  <si>
    <t>Ofrimi i shërbimit lëvizës të NJF në rastet kur personi e ka të pamundur lëvizjen jashtë kushteve të banesës ( ndryshime ligjore kur kërkohen)</t>
  </si>
  <si>
    <t>2.2.5</t>
  </si>
  <si>
    <t>2.2.6</t>
  </si>
  <si>
    <t>MD</t>
  </si>
  <si>
    <t>MD/KLGJ</t>
  </si>
  <si>
    <t>2.3.3</t>
  </si>
  <si>
    <t>2.3.4</t>
  </si>
  <si>
    <t>2.3.5</t>
  </si>
  <si>
    <t>2.3.6</t>
  </si>
  <si>
    <t>Miratimi i projekt-VKM “Për përcaktimin e mënyrës dhe rregullave për ngritjen dhe funksionimin e Institucioneve Mjekësore të Posaçme dhe për masat e sigurisë për ruajtjen e tyre</t>
  </si>
  <si>
    <t>Kryerja e raportimeve periodike lidhur me numrin dhe situatën shëndetsore dhe psikologjike të personave me aftësi të kufizuar në institucionet e dënimit</t>
  </si>
  <si>
    <t>DPB</t>
  </si>
  <si>
    <t>Forcimi i bashkëpunimit të MSHMS , MD dhe DPB për zhvendosjen e të burgosurive me aftësi të kufizuara nga burgu i Zaharisë në Krujë në ambjente të përshtatshme në respekt të të drejtave të njeriut</t>
  </si>
  <si>
    <t>DPB/MD</t>
  </si>
  <si>
    <t>Rritja e numrit të mjekëve psikiatër në organikën e sistemit të burgjeve, për të menaxhuar dhe administruar mjekimin për personat me aftësi të kufizuar mendore</t>
  </si>
  <si>
    <t>MD/DPB</t>
  </si>
  <si>
    <t>Trajtimi i mjekëve psikiatër në sistemin e burgjeve, me përfitime extra për shkak të vështirësisë në punë, në mënyrë që të rritet interesi i mjekëve psikiatër për punësim në sistemin e burgjeve</t>
  </si>
  <si>
    <t>Ngritja e Klinikave të Ligjit si institucione ofruese të parashikuara nga ligji për shërbime të ndihmës juridike falas.</t>
  </si>
  <si>
    <t>Vijimi i organizimit të sesioneve trajnuese për  stafet e institucioneve të referuara nga KVAK, ku personat me aftësi të kufizuar do të kërkojnë e marrin shërbimin respektiv  ( të tilla si institucionet e  arsimit, punësimit, administratorët e bashkive në të gjithë vendin)</t>
  </si>
  <si>
    <t>Organizimi i fushatave në bashkëpunim me organizatat e personave me aftësi të kufizuara për rritjen e ndërgjegjësimit dhe promovimin e pjesëmarrjes së tyre në procesin e votimit</t>
  </si>
  <si>
    <t>Ndërtimi i kapaciteteve për personat me aftësi të kufizuara , të cilët dëshërojnë të angazhohen si vëzhgues gjatë zgjedhjeve</t>
  </si>
  <si>
    <t>Përmirësim i Kodit elektoral dhe procedurave administrative për të siguruar akses në procesin e votimit për personat me aftësi të kufizuara që nuk mund të largohen nga rezidenca e tyre</t>
  </si>
  <si>
    <t>Mundesimi i votimit të personave të verbër në mënyrë të pavarur nëpërmjet realizimit të përshtatjes së fletës së votimit në Braille.</t>
  </si>
  <si>
    <t>Kryerja e ndryshimeve në legjislacion me qëllim detyrimin e NJQV-ve për të dërguar në KQZ të dhëna për zgjedhësit me AK dhe nevojat që ata kanë për të marrë pjesë në procesin e votimit.</t>
  </si>
  <si>
    <t>Ridizenjimi i sistemit të mbledhjes së të dhënave statistikore të KQZ me qëllim futjen dhe prodhimin e statistikave që kanë të bëjnë me aftësinë e kufizuar ( psh nr i qendrave të votimit të aksesueshme, nr i personave me AK që votojnë etj)</t>
  </si>
  <si>
    <t>Plan masash për të fuqizuar bashkëpunimin ndërmjet ministrisë përgjegjëse për cështjet e aftësisë së kufizuar dhe Njësive të Qeverisjes Vendore</t>
  </si>
  <si>
    <t>Institucionalizimi i bashkëpunimit nëpërmjet ndërhyrjeve dhe amendamenteve të mundshme në aktet ligjore dhe nënligjore që afektojnë cështjet e AK</t>
  </si>
  <si>
    <t>Trajnim per mbledhjen e  statistikave per aftesine e kufizuar</t>
  </si>
  <si>
    <t>Objektivat Specifik</t>
  </si>
  <si>
    <t>Kosto totale (QS1+QS2+QS3+QS4+QS5+QS6+QS7+QS8)</t>
  </si>
  <si>
    <t>Kostot treguese</t>
  </si>
  <si>
    <t>Objektivi specifik 4: Nxitja e bashkëpunimit rajonal për zbatimin e Konventës së Kombeve të Bashkuara për të Drejtat e Personave me Aftësi të Kufizuara</t>
  </si>
  <si>
    <t>Objektivi specifik 3: Ngritja e sistemit per mbledhjen e indikatorëve të  monitorimit te shoqeruar me pasaportat për cdo indikator</t>
  </si>
  <si>
    <t>Objektivi specifik 2: Monitorimi i pabarazive me të cilat përballen  persona me aftësi të kufizuar dhe koordinimi i politikave publike që synojnë uljen e tyre</t>
  </si>
  <si>
    <t>Objektivi specifik 1: Sigurimi i një bashkëpunimi dhe koordinimi më të mirë ndërinstitucional në nivel horizontal dhe vertikal me qëllim promovimin e të drejtave të personave me aftësi të kufizuara</t>
  </si>
  <si>
    <t>Qëllimi i Politikës VIII</t>
  </si>
  <si>
    <t>Objektivi specifik 3: Rritja e mundësive për personat me aftësi të kufizuara për të marrë pjesë në aktivitete dhe evenimente sportive kombëtare dhe ndërkombëtare</t>
  </si>
  <si>
    <t>Objektivi specifik 2: Promovimi i punës së artistëve me aftësi të kufizuara dhe përfshirja e personave me aftësi të kufizuara në jetën artistike</t>
  </si>
  <si>
    <t>Objektivi specifik 1: Rritja e numrit të personave me aftësi të kufizuara në procesin e votimit, dhënia e mundësisë për të mbrojtur interesat e tyre dhe për të marrë pjesë në vendimmarrje</t>
  </si>
  <si>
    <t>Objektivi specifik 1: Zhvillimi i shërbimeve të parandalimit, ndërhyrjes së hershme dhe rehabilitimit për fëmijët dhe të rriturit me aftësi të kufizuara</t>
  </si>
  <si>
    <t xml:space="preserve">Objektivi specifik 1: Lehtësimi i ofrimit të shërbimeve shëndetësore për personat me aftësi të kufizuara </t>
  </si>
  <si>
    <t>Objektivi specifik: Promovimi dhe nxitja e jetesës së pavarur nëpërmjet ofrimit të llojeve të reja të shërbimeve sociale komunitare</t>
  </si>
  <si>
    <t>Objektivi specifiki 4,2: Shndërrimi i shkollave të specializuara në qendra burimore</t>
  </si>
  <si>
    <t>Objektivi specifik 5.2: Ofrimi i shërbimeve të integruara sociale me anë të kombinimit të pagesave me para në dorë (cash) me kujdesin social cilësor</t>
  </si>
  <si>
    <t>Objektivi specifik 5.3: Promovimi dhe nxitja e jetesës së pavarur nëpërmjet ofrimit të llojeve të reja të shërbimeve sociale komunitare</t>
  </si>
  <si>
    <t>Objektivi specifik 4.1Rritja e mundësive për pjesëmarrje në arsimin gjithëpërfshirës për fëmijët me lloje të ndryshme të aftësive të kufizuara</t>
  </si>
  <si>
    <t>Objektivi specifik 3.1: Rritja e cilësisë në shërbimet e aftësimit për të nxitur përfshirjen e personave me aftësi të kufizuar në tregun e punës</t>
  </si>
  <si>
    <t>Objektivi specifik 3.2: Rritja e mundësive për punësim dhe vetpunësim për personat me aftësi të kufizuara</t>
  </si>
  <si>
    <t>Objektivi specifik 3.3: Përmirësimi i cilësisë dhe efikasitetit të shërbimeve që synojnë nxitjen e integrimit të personave me aftësi të kufizuar në tregun e punës</t>
  </si>
  <si>
    <t>Objektivi Specifik 2.1: Rritja e numrit të individëve me aftësi të kufizuara që përdorin shërbimet e ndihmës juridike falas</t>
  </si>
  <si>
    <t>Objektivi Specifik 2.2:  Njohja e barabartë para ligjit e personave me aftësi të kufizuara, veçanërisht i personave me aftësi të kufizuara mendore</t>
  </si>
  <si>
    <t>Objektivi specifik 2.3: Garantimi i respektimit të të drejtave të personave me aftësi të kufizuara në institucionet e dënimit, në përputhje me standardet ndërkombëtare</t>
  </si>
  <si>
    <t>Qëllimi strategjik 1. Të ofrohet akses i barabartë në shërbime dhe informacion për personat me aftësi të kufizuara</t>
  </si>
  <si>
    <t>Shtimi /Fuqizimi i kapaciteteve të strukturave të ISSh dhe SHSSH në nivel qendror dhe vendor me staf të specializuar</t>
  </si>
  <si>
    <t>01110 Planifikim Menaxhim Administrim</t>
  </si>
  <si>
    <t>10430 Përkujdesja Sociale</t>
  </si>
  <si>
    <t>1.1.4</t>
  </si>
  <si>
    <t>1.1.5</t>
  </si>
  <si>
    <t>1.1.6</t>
  </si>
  <si>
    <t>1.1.7</t>
  </si>
  <si>
    <t>1.1.8</t>
  </si>
  <si>
    <t xml:space="preserve">Krijimi i Regjistrit të aksesueshmërisë së aseteve të institucionit dhe strukturave të varësisë ku   do të bëhet   regjistrimi  i aseteve/objekteve të institucionit dhe institucioneve të varësisë, përfshirë informacionin për ndryshimet në  situatën e aksesueshmërisë nëpërmjet mbledhjes së   informacionit nga antarët e TaskForcës  </t>
  </si>
  <si>
    <t>1.1.9</t>
  </si>
  <si>
    <t>1.1.10</t>
  </si>
  <si>
    <t>1.1.11</t>
  </si>
  <si>
    <t>1.1.12</t>
  </si>
  <si>
    <t>Kosto treguese Objektivi specifik 1.1</t>
  </si>
  <si>
    <t>Zhvillimi i fushatave të ndërgjegjësimit me personat me aftësi të kufizuara dhe familjet e tyre, në lidhje me të drejtat e tyre bazuar në legjislacionin shqiptar, në rekomandimet e Konventës së OKB-së për të drejtat e personave me aftësi të kufizuara, si edhe dokumenteve të ndryshme ndërkombëtare.</t>
  </si>
  <si>
    <t>Objektivi Specifik:  Realizimi I Aksesueshmërisë në Mjedise për Personat me Aftësi të Kufizuara</t>
  </si>
  <si>
    <t>Objektivi Specifik 1.1:  Realizimi I Aksesueshmërisë në Mjedise për Personat me Aftësi të Kufizuara</t>
  </si>
  <si>
    <t>1.2.6</t>
  </si>
  <si>
    <t>1.2.7</t>
  </si>
  <si>
    <t>1.2.8</t>
  </si>
  <si>
    <t>1.2.9</t>
  </si>
  <si>
    <t>1.2.10</t>
  </si>
  <si>
    <t>1.2.11</t>
  </si>
  <si>
    <t>1.2.12</t>
  </si>
  <si>
    <t>1.2.13</t>
  </si>
  <si>
    <t>1.2.14</t>
  </si>
  <si>
    <t>1.2.15</t>
  </si>
  <si>
    <t>1.2.16</t>
  </si>
  <si>
    <t>1.2.17</t>
  </si>
  <si>
    <t>Kosto treguese Objektivi specifik 1.2</t>
  </si>
  <si>
    <t>Realizimi i aksesueshmërisë në transport për një numër në rritje të autobusëve të kompanive të licencuara për transportin rrugor të udhëtarëve në linjat e rregullta dhe në ato të shërbimeve të rastit /turistike, të kenë platformë/pajisje të përshtatshme për te siguruar aksesueshmërinë për personat me aftësi të kufizuara.</t>
  </si>
  <si>
    <t>Hartimi i guidave, hartave, udhëzuesve për të lehtësuar aksesin ne transport të personave me aftësi të kufizuara. Botimi dhe shpërndarja e materialeve udhëzuese</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</si>
  <si>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</si>
  <si>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</si>
  <si>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</si>
  <si>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</si>
  <si>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</si>
  <si>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</si>
  <si>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</si>
  <si>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</si>
  <si>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</si>
  <si>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</si>
  <si>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</si>
  <si>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</si>
  <si>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</si>
  <si>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</si>
  <si>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</si>
  <si>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</si>
  <si>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</si>
  <si>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</si>
  <si>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</si>
  <si>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</si>
  <si>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</si>
  <si>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</si>
  <si>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</si>
  <si>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</si>
  <si>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</si>
  <si>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</si>
  <si>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 xml:space="preserve">Objektivi Specifik: Realizimi  i  Aksesueshmërisë në Informacion dhe në Komunikim për Personat me Aftësi të Kufizuara  </t>
  </si>
  <si>
    <t>Rishikimi i Ligjit “Për mënyrën e ofrimit të shërbimeve publike në sportel në Republikën e Shqipërisë” dhe Vendimi nr. 673 dt. 22.11.2017 i Këshillit të Ministrave për riorganizimin e Agjencisë Kombëtare të Shoqërisë së Informacionit, i ndryshuar,me qëllim përfshirjen në to të elementeve të aksesueshmërisë në informacion e komunikim për personat me aftësi të kufizuara.</t>
  </si>
  <si>
    <t>Rishikimi/parashikimi i strukturave përgjegjëse për zbatimin, monitorimin e inspektimin e zbatimit të kuadrit ligjor dhe politik që siguron aksesueshmërinë në informacion dhe komunikim për personat me aftësi të kufizuara</t>
  </si>
  <si>
    <t>Marrja e masave që pajisjet dhe shërbimet publike të jenë të aksesueshme nga persona që kanë dëmtime të shikimit, probleme me dëgjimin, vështirësi me lëvizjen, si dhe nga persona me aftësi të kufizuara intelektuale duke përdorur a) ikona universale; b)  programe, që mundësojnë leximin për personat me vështirësi në shikim; c) pajisje audio; d) të kenë programe që u mundësojnë përdoruesve me probleme në shikim të zmadhojnë shkrimin dhe madhësinë e ikonave; e) të kenë lexues dhe printera të kodit Braille (në një numër të arsyeshëm).</t>
  </si>
  <si>
    <t>Rishikimi/parashikimi i strukturave përgjegjëse për zbatimin, monitorimin e inspektimin e zbatimit të kuadrit ligjor dhe politik që siguron aksesueshmërinë në informacion dhe komunikim për personat me aftësi të kufizuara në botime, evente, takime</t>
  </si>
  <si>
    <t>Realizimi i fushatave të ndërgjegjësimit, me qëllim që personat me aftësi të kufizuara të mësojnë mbi tipologjinë e informacionit dhe komunikimit të aksesueshëm në botimet dhe eventet zyrtare</t>
  </si>
  <si>
    <t>Përfshirja më e gjerë në politikat sektoriale dhe kuadrin ligjor dhe nënligjor e konceptit të aksesueshmërisë për personat me aftësi të kufizuara në komunikimet elektronike publike, veçanërisht në telefoninë celulare</t>
  </si>
  <si>
    <t>Hartimi nga AKEP-i i rregullave dhe standardeve për garantimin e aksesueshmërisë për personat me aftësi të kufizuara në shërbimet e rrjeteve të komunikimeve elektronike publike, sidomos të rrjeteve celulare dhe shërbimet e emergjencës</t>
  </si>
  <si>
    <t>Rritja e ndërgjegjësimit për produktet dhe shërbimet e aksesueshme për personat me aftësi të kufizuara dhe përfitimet nga teknologjitë ndihmëse për personat me aftësi të kufizuara, ashtu si dhe për pjesën tjetër të shoqërisë. Informacioni që do të vihet në dispozicion të publikut, duhet të sigurohet në formate të arritshme, sipas kërkesës, dhe të promovohet përmes kanaleve të përshtatshme duke përdorur komunikime efektive (përfshirë përshkrimin, gjuhën e shenjave ose përshkrimin audio në video, sipas nevojës) për të arritur tek personat me aftësi të kufizuara.</t>
  </si>
  <si>
    <t>Realizimi i studimeve vjetore mbi kënaqësinë e klientëve me aftësi të kufizuara mbi komunikimin e aksesueshëm të telefonisë së lëvizshme</t>
  </si>
  <si>
    <t>Ofrimi i udhëzimeve dhe stimujve për institucionet arsimore të larta dhe ato të formimit profesional të zhvillojnë kurse për studentët e shkencave kompjuterike, me fokus aksesueshmërinë e faqeve të internetit</t>
  </si>
  <si>
    <t>Ofrimi nga ofruesit e licencuar të shërbimeve të titrave, gjuhës së shenjave dhe versioneve audio në programe specifike, me qëllim sigurimin e aksesit për personat me aftësi të kufizuara</t>
  </si>
  <si>
    <t>Adaptimi i standardeve, bazuar në ato ndërkombëtare, të cilat sigurojnë bashkërendimin mes shërbimeve televizive dhe pajisjeve që u mundësojnë përdoruesve marrjen, dekodimin, shfaqjen e shërbimeve të aksesueshme për personat me aftësi të kufizuara.</t>
  </si>
  <si>
    <t>Monitorimi i shërbimeve të titrave, gjuhës së shenjave dhe versioneve audio në programe specifike televizive, përmes kontakteve të vazhdueshme me organizatat përfaqsuese të kategorive respektive të personave me aftësi të kufizuara</t>
  </si>
  <si>
    <t>Objektivi Specifik:  Realizimi I Aksesueshmërisë në Transport për Personat me Aftësi të Kufizuara</t>
  </si>
  <si>
    <t>Objektivi Specifik 1.2:  Realizimi I Aksesueshmërisë në Transport për Personat me Aftësi të Kufizuara</t>
  </si>
  <si>
    <t xml:space="preserve">Objektivi Specifik 1.3: Realizimi  i  Aksesueshmërisë në Informacion dhe në Komunikim për Personat me Aftësi të Kufizuara  </t>
  </si>
  <si>
    <t>Burimi i mbulimit deri ne 2023</t>
  </si>
  <si>
    <t>1.3.31</t>
  </si>
  <si>
    <t>Trajnimi i stafit që punon me klientët si t’u shërbejnë klientëve me aftësi të kufizuara, duke shpjeguar se si ata mund të gjejnë informacion mbi shërbimet e aksesueshme në guidat elektronike të programit, si mund të përdorin shërbimet e vlefshme të aksesueshme.</t>
  </si>
  <si>
    <t>2.1.11</t>
  </si>
  <si>
    <t>4.1.11</t>
  </si>
  <si>
    <t>Ngritja e kapaciteteve të antarëve të komisioneve multidisiplinore arsimore në të gjithë vendin mbi Klasifikimin Ndërkombëtar të Funksionimit (KNF) dhe mënyrat e bashkëveprimit me Komisionin multidisiplinor të vlerësimit të AK</t>
  </si>
  <si>
    <t>Kryerja e një studimi në nivel rajonesh lidhur me përputhshmërinë ndërmjet numrit aktual të mësuesve ndihmës, plane edukative individuale të personalizuara dhe vendimeve të komisioneve multidisiplinore</t>
  </si>
  <si>
    <t>Ngritja e vazhdueshme e kapaciteteve te mësuesve ndihmës ne arsimin parauniversitar per edukimin e fëmijëve me aftësi te kufizuara</t>
  </si>
  <si>
    <t>Monitorimi nga ZVAP i arsimimit te nxenesve me AK, dokumentacioni shoqerues, vleresimi dhe vijueshmeria ne vite</t>
  </si>
  <si>
    <t>Ngritja e kapaciteteve te specialisteve lokale pranë ZVAP-ve qe mbulojnë çështjet e edukimit te fëmijëve me aftësi te kufizuara</t>
  </si>
  <si>
    <t>Kryerja e një analize për rezultatet që do dalin nga Censusi 2021 lidhur me fëmijët me aftësi të kufizuar</t>
  </si>
  <si>
    <t xml:space="preserve">09450 Fonde për Arsimin e Larte </t>
  </si>
  <si>
    <t>Ministrite e Linjes</t>
  </si>
  <si>
    <t>ISHP&amp;ISHSHSH Niveli qendror&amp;vendor</t>
  </si>
  <si>
    <t>Task Force/Te gjithe Institucionet e perfshire</t>
  </si>
  <si>
    <t>KM/Te gjithe Institucionet e perfshire</t>
  </si>
  <si>
    <t>Task Force/Te gjithe Institucionet e perfshire/Organizatat ne mbrojtje te PAK   Universiteti Politeknik</t>
  </si>
  <si>
    <t>Universiteti Politeknik/Task Force</t>
  </si>
  <si>
    <t xml:space="preserve">Ngritja dhe bëria funksionale e Task-Forcës me qëllim konsultimin e propozimin e politikave për aksesueshmërinë , të programeve e projekteve si dhe monitorimin e zbatimit të standardeve të aksesueshmërisë me përfaqësim nga të gjitha institucionet. </t>
  </si>
  <si>
    <t xml:space="preserve">Propozimi i përmirësimeve të kuadrit ligjor dhe nënligjor (VKM, rregullore, udhëzime, manuale etj.), me qëllim forcimin e aplikimit të kërkesave dhe standardeve për aksesueshmërinë në mjedise, si edhe të masave ndëshkuese në rast të moszbatimit të tyre.  </t>
  </si>
  <si>
    <t xml:space="preserve">Ndërgjegjësimi, informimi dhe trajnimi në lidhje me rekomandimet e Konventës së OKB-së për personat me aftësi të kufizuara, legjislacionin shqiptar mbi kërkesat dhe standardet e aksesueshmërisë së mjedisit, standardet evropianë në lidhje me mjedisin e përshtatur , për antarët e TaskForcës dhe stafet e nevojshme të të gjitha institucioneve ,  stafin pedagogjik në shkollat e formimit profesional, universitete, etj. subjektet projektuese dhe zbatuese në fushën e ndërtimeve dhe infrastrukturës rrugore; pronarët/administratorët e bizneseve private, ofrues të shërbimeve etj.    </t>
  </si>
  <si>
    <t xml:space="preserve">Hartimi, në bashkëpunim me Universitetin Politeknik,  i programeve të trajnimit të stafit të institucionit/institucioneve, jo vetëm mbi aplikimin e kërkesave dhe standardeve për aksesueshmërinë e mjedisit, por edhe mbi mënyrën e sjelljes dhe komunikimit. </t>
  </si>
  <si>
    <t xml:space="preserve">Rishikimi i kurrikulave të Universitetit Politeknik,  për t’i përditësuar ato me standardet më të larta të aksesueshmërisë apo projektimit universal.   </t>
  </si>
  <si>
    <t>Promovimi përmes fushatave të komunikimit/ndërgjegjësimit   praktikat pozitive në zbatimin dhe aplikimin e kërkesave dhe standardeve të aksesueshmërisë në mjedise për personat me aftësi të kufizuara.</t>
  </si>
  <si>
    <t>Monitorimi I investimeve publike ne fushen e arsimit, shendetesise, kujdesit social, tregut te punes dhe drejtesise per zbatimin e standardeve te aksesueshmërisë.</t>
  </si>
  <si>
    <t>Përgatitja nga MSHMS e Raportit Kombëtar vjetor të Realizimit të Aksesueshmërisë për Personat me Aftësi të Kufizuara.</t>
  </si>
  <si>
    <t>Organizimi nga MSHMS i Konferencës Kombëtare të Aksesueshmërisë, ku prezantohen arritjet një vjeçare nga të gjithë institucionet përgjegjëse dhe planifikimi për vitin e ardhshëm.</t>
  </si>
  <si>
    <t>Pushteti vendor</t>
  </si>
  <si>
    <t>Biznesi</t>
  </si>
  <si>
    <t>04520 Transporti Rrugor</t>
  </si>
  <si>
    <t>01140 e-Qeverisja</t>
  </si>
  <si>
    <t>1.2.1 Kryerja e një analize të legjislacionit shqiptar duke e krahasuar me atë të vendeve të BE-së, lidhur me bërjen të mundur që  personat që nuk dëgjojnë të marrin leje drejtimi automjeti. Diskutim publik me prezantim të shembujve të praktikave të mira në fushën e lëshimit të lejeve për drejtim automjeti për personat që nuk dëgjojnë. Zbatimi i ndërhyrjeve ligjore.</t>
  </si>
  <si>
    <t>1.2.2 Rishikimi i legjislacionit që lidhet me rimbursimin e të gjitha llojeve të transportit dhe mundësinë për financim për të gjitha kategoritë e personave me aftësi të kufizuara.</t>
  </si>
  <si>
    <t xml:space="preserve">1.2.3 Rishikimi i akteve ligjore që lidhen me rimbursimin e karburantit për të gjithë personat me aftësi të kufizuara. Vlerësimi i akteve ekzistuese dhe hartimi i skemës së vlerësimit, që do të përcaktojë rimbursimin e karburantit. </t>
  </si>
  <si>
    <t>1.2.4 Realizimi i aksesueshmërisë në transport për një numër në rritje të autobusëve të kompanive të licencuara për transportin rrugor të udhëtarëve në linjat e rregullta dhe në ato të shërbimeve të rastit /turistike, të kenë platformë/pajisje të përshtatshme për te siguruar aksesueshmërinë për personat me aftësi të kufizuara.</t>
  </si>
  <si>
    <t xml:space="preserve">1.2.5 Rishikimi dhe përmirësimi i VKM nr. 66, datë 7.2.2007 “Për disa ndryshime në vendimin nr. 146, datë 26.2.1998 të Këshillit të Ministrave “Për ndryshimin e tarifave të transportit të udhëtarëve”, të ndryshuar”.     </t>
  </si>
  <si>
    <t>1.2.6 Plotësimi i të gjitha standardeve për personat me aftësi të kufizuara në terminalet e autobusëve terminalet/stacionet hekurudhore, detare dhe ajrore.</t>
  </si>
  <si>
    <t xml:space="preserve">1.2.7 Sigurimi i opsioneve/teknikave audio vizuale në të gjitha mjetet që ofrojnë transport publik. 50% e mjeteve përdorin teknika audio vizuale </t>
  </si>
  <si>
    <t>1.2.8 Aty ku nuk është i mundur ofrimi i transportit të aksesueshëm (përfshirë zona të largëta periferike), të rregullohet baza ligjore dhe të financohen projekte/operatorë që ofrojnë transport derë më derë për personat me aftësi të kufizuara në karrige me rrota.10 bashki fillojnë shërbimin.</t>
  </si>
  <si>
    <t>1.2.9 Shtimi i numrit dhe kualifikimit të stafit të task-forcës dhe qarqeve/bashkive me qëllim monitorimin ne terren të zbatimit të kuadrit ligjor përkatës nga subjektet që ofrojnë transport publik. Vijimësia e punës, pas ndryshimit te strukturës task-forcës te përcaktuar me VKM nr. 465, datë 26.7.2018, të ndryshuar, si dhe vendimeve te Këshillave te Qarqeve/ Këshillave Bashkiake).</t>
  </si>
  <si>
    <t>1.2.10 Hartimi i guidave, hartave, udhëzuesve për të lehtësuar aksesin ne transport të personave me aftësi të kufizuara. Botimi dhe shpërndarja e materialeve udhëzuese</t>
  </si>
  <si>
    <t xml:space="preserve">1.2.11 Vlerësimi i kërkesës dhe ofertës për transport te personave me aftësi të kufizuara, sipas kategorive dhe shtrirjes gjeografike te vendbanimit te tyre.     </t>
  </si>
  <si>
    <t xml:space="preserve">1.2.12  Dizenjimi dhe përgatitja e kartës së aftësisë së kufizuar në transport       </t>
  </si>
  <si>
    <t xml:space="preserve">1.2.13 Realizimi i kushteve të aksesueshmërise në biletat elektronike. </t>
  </si>
  <si>
    <t>1.2.14 Trajnimi i stafit të angazhuar në transportin rrugor të udhëtarëve (ndërqytetas, rrethqytetas, qytetas) dhe transportin hekurudhor për trajtimin, komunikim dhe dhënien e shërbimit përkatës për personat me aftësi të kufizuara.</t>
  </si>
  <si>
    <t>1.2.15 Përgatitja e një Kodi Etike me synim përmirësimin e komunikimit dhe terminologjisë gjatë ndërveprimit me pasagjerët me aftësi të kufizuara.</t>
  </si>
  <si>
    <t xml:space="preserve">1.2.16 Organizimi i fushatës së ndërgjegjësimit për te drejtat në transport për personat me aftësi të kufizuara, në bashkëpunim me institucionet përgjegjëse, palët e interesit dhe mediat.  </t>
  </si>
  <si>
    <t xml:space="preserve">1.2.17 Bashkëpunim me autoritete vendore për të rritur ndërgjegjësimin dhe promovuar praktika të mira të transportit të aksesueshëm për personat me aftësi të kufizuara      </t>
  </si>
  <si>
    <t>Kryerja e një analize të legjislacionit shqiptar duke e krahasuar me atë të vendeve të BE-së, lidhur me bërjen të mundur që  personat që nuk dëgjojnë të marrin leje drejtimi automjeti. Diskutim publik me prezantim të shembujve të praktikave të mira në fushën e lëshimit të lejeve për drejtim automjeti për personat që nuk dëgjojnë. Zbatimi i ndërhyrjeve ligjore.</t>
  </si>
  <si>
    <t>Rishikimi i legjislacionit që lidhet me rimbursimin e të gjitha llojeve të transportit dhe mundësinë për financim për të gjitha kategoritë e personave me aftësi të kufizuara.</t>
  </si>
  <si>
    <t xml:space="preserve">Rishikimi i akteve ligjore që lidhen me rimbursimin e karburantit për të gjithë personat me aftësi të kufizuara. Vlerësimi i akteve ekzistuese dhe hartimi i skemës së vlerësimit, që do të përcaktojë rimbursimin e karburantit. </t>
  </si>
  <si>
    <t xml:space="preserve">Rishikimi dhe përmirësimi i VKM nr. 66, datë 7.2.2007 “Për disa ndryshime në vendimin nr. 146, datë 26.2.1998 të Këshillit të Ministrave “Për ndryshimin e tarifave të transportit të udhëtarëve”, të ndryshuar”.     </t>
  </si>
  <si>
    <t>Plotësimi i të gjitha standardeve për personat me aftësi të kufizuara në terminalet e autobusëve terminalet/stacionet hekurudhore, detare dhe ajrore.</t>
  </si>
  <si>
    <t xml:space="preserve">Sigurimi i opsioneve/teknikave audio vizuale në të gjitha mjetet që ofrojnë transport publik. 50% e mjeteve përdorin teknika audio vizuale </t>
  </si>
  <si>
    <t>Aty ku nuk është i mundur ofrimi i transportit të aksesueshëm (përfshirë zona të largëta periferike), të rregullohet baza ligjore dhe të financohen projekte/operatorë që ofrojnë transport derë më derë për personat me aftësi të kufizuara në karrige me rrota.10 bashki fillojnë shërbimin.</t>
  </si>
  <si>
    <t>Shtimi i numrit dhe kualifikimit të stafit të task-forcës dhe qarqeve/bashkive me qëllim monitorimin ne terren të zbatimit të kuadrit ligjor përkatës nga subjektet që ofrojnë transport publik. Vijimësia e punës, pas ndryshimit te strukturës task-forcës te përcaktuar me VKM nr. 465, datë 26.7.2018, të ndryshuar, si dhe vendimeve te Këshillave te Qarqeve/ Këshillave Bashkiake).</t>
  </si>
  <si>
    <t xml:space="preserve">Vlerësimi i kërkesës dhe ofertës për transport te personave me aftësi të kufizuara, sipas kategorive dhe shtrirjes gjeografike te vendbanimit te tyre.     </t>
  </si>
  <si>
    <t xml:space="preserve">Dizenjimi dhe përgatitja e kartës së aftësisë së kufizuar në transport       </t>
  </si>
  <si>
    <t xml:space="preserve">Realizimi i kushteve të aksesueshmërise në biletat elektronike. </t>
  </si>
  <si>
    <t>Trajnimi i stafit të angazhuar në transportin rrugor të udhëtarëve (ndërqytetas, rrethqytetas, qytetas) dhe transportin hekurudhor për trajtimin, komunikim dhe dhënien e shërbimit përkatës për personat me aftësi të kufizuara.</t>
  </si>
  <si>
    <t>Përgatitja e një Kodi Etike me synim përmirësimin e komunikimit dhe terminologjisë gjatë ndërveprimit me pasagjerët me aftësi të kufizuara.</t>
  </si>
  <si>
    <t xml:space="preserve">Organizimi i fushatës së ndërgjegjësimit për te drejtat në transport për personat me aftësi të kufizuara, në bashkëpunim me institucionet përgjegjëse, palët e interesit dhe mediat.  </t>
  </si>
  <si>
    <t>DPSHTRR  &amp;  ARRSH/MSHMS</t>
  </si>
  <si>
    <t>MIE</t>
  </si>
  <si>
    <t>MSHMS/MD/MFE/Shoqatat e transportit dhe OJQ, si palë interesi.</t>
  </si>
  <si>
    <t>DPSHTRR/Bashkite &amp; Shoqatat e transportit</t>
  </si>
  <si>
    <t xml:space="preserve">MFE/Instituti Transportit/Shoqatat e transportit, </t>
  </si>
  <si>
    <t xml:space="preserve">MFE/Instituti Transportit &amp; Shoqatat e transportit &amp; Operatorët e transportit publik </t>
  </si>
  <si>
    <t xml:space="preserve">Bashkite </t>
  </si>
  <si>
    <t>KM/MIE/KQ/KB</t>
  </si>
  <si>
    <t>INSTAT/Bashkite</t>
  </si>
  <si>
    <t>MIE/MFE/OJF të personave me aftësi të kufizuara</t>
  </si>
  <si>
    <t>AKSHI</t>
  </si>
  <si>
    <t>MIE/MSHMS/OJF të personave me aftësi të kufizuara</t>
  </si>
  <si>
    <t>OJF</t>
  </si>
  <si>
    <t>MSHMS/Bashkite</t>
  </si>
  <si>
    <t>Poshteti Vendor</t>
  </si>
  <si>
    <t>Pushteti Vendor</t>
  </si>
  <si>
    <t>1.3.1 Rishikimi i Ligjit “Për mënyrën e ofrimit të shërbimeve publike në sportel në Republikën e Shqipërisë” dhe Vendimi nr. 673 dt. 22.11.2017 i Këshillit të Ministrave për riorganizimin e Agjencisë Kombëtare të Shoqërisë së Informacionit, i ndryshuar,me qëllim përfshirjen në to të elementeve të aksesueshmërisë në informacion e komunikim për personat me aftësi të kufizuara.</t>
  </si>
  <si>
    <t>1.3.2 Adaptimi i standardeve ndërkombëtare të sigurimit të aksesueshmërisë në TIK në portale dhe sportele qeveritare.</t>
  </si>
  <si>
    <t>1.3.3 Rishikimi/parashikimi i strukturave përgjegjëse për zbatimin, monitorimin e inspektimin e zbatimit të kuadrit ligjor dhe politik që siguron aksesueshmërinë në informacion dhe komunikim për personat me aftësi të kufizuara</t>
  </si>
  <si>
    <t>1.3.4  Marrja e masave që pajisjet dhe shërbimet publike të jenë të aksesueshme nga persona që kanë dëmtime të shikimit, probleme me dëgjimin, vështirësi me lëvizjen, si dhe nga persona me aftësi të kufizuara intelektuale duke përdorur a) ikona universale; b)  programe, që mundësojnë leximin për personat me vështirësi në shikim; c) pajisje audio; d) të kenë programe që u mundësojnë përdoruesve me probleme në shikim të zmadhojnë shkrimin dhe madhësinë e ikonave; e) të kenë lexues dhe printera të kodit Braille (në një numër të arsyeshëm).</t>
  </si>
  <si>
    <t>1.3.5 Marrja e masava me qëllim që ofruesit e shërbimeve të komunikimit në pikat e aksesit publik të shmangin diskriminimin ndaj personave me aftësi të kufizuara, duke siguruar aksesueshmërinë në objektet, produktet dhe shërbimet e tyre, në përputhje me standardet e miratuara.</t>
  </si>
  <si>
    <t>1.3.6 Zbatimi i standarteve të aksesueshmërisë në portalin https://e-albania.al dhe në të gjitha portalet e tjera ndërvepruese me publikun.Fokus i veçantë, do t’i kushtohet komunikimeve në lidhje me urgjencat/emergjencat.</t>
  </si>
  <si>
    <t>1.3.7 Trajnim i stafit për mënyrën shërbimit të personave me aftësi të kufizuara. Trajnime të tilla duhet të përfshijnë si informacionin e përdorimit të TIK-ut nga personat me aftësi të kufizuar, ashtu dhe informacione rreth parimeve të aksesueshmërisë.</t>
  </si>
  <si>
    <t>1.3.8 Trajnimi i një grupi trajnerësh nga të gjitha institucionet mbi përdorimin e informacionit dhe komunikimit të aksesueshëm në portale e sportele publike.</t>
  </si>
  <si>
    <t>1.3.9 Informimi dhe trajnimi i personave me aftësi të kufizuara mbi përdorimin e informacionit dhe komunikimit të aksesueshëm në portale e sportele publike.</t>
  </si>
  <si>
    <t>1.3.10 Hartimi dhe miratimi i Standardeve të Informacionit dhe Komunikimit të Aksesueshëm në publikimet, ngjarjet dhe takimet publike.</t>
  </si>
  <si>
    <t>1.3.11 Rishikimi/parashikimi i strukturave përgjegjëse për zbatimin, monitorimin e inspektimin e zbatimit të kuadrit ligjor dhe politik që siguron aksesueshmërinë në informacion dhe komunikim për personat me aftësi të kufizuara në botime, evente, takime</t>
  </si>
  <si>
    <t>1.3.12 Përgatitja dhe ofrimi nga të gjitha institucionet shtetërore e informacionit të shtypur/botuar, edhe në rrjete e portale, të arritshëm/aksesueshëm dhe përfshirës. Informacioni duhet të ofrohet në formate dhe gjuhë alternative.(Këtu, përfshihen edhe formatet e aksesueshme që duhen përdorur për ligje, VKM, strategji e plane veprimi etj.)</t>
  </si>
  <si>
    <t>1.3.13 Marrja e masave nga të gjitha institucionet qendrore dhe vendore për të siguruar që informacioni dhe komunikimet për politikat, publikimet ose ngjarjet publike të jenë të arritshëm për personat me aftësi të kufizuara.</t>
  </si>
  <si>
    <t>1.3.14 Realizimi i fushatave të ndërgjegjësimit, me qëllim që personat me aftësi të kufizuara të mësojnë mbi tipologjinë e informacionit dhe komunikimit të aksesueshëm në botimet dhe eventet zyrtare</t>
  </si>
  <si>
    <t>1.3.15 Realizimi i trajnimeve me stafet e institucioneve publike rreth tipologjive të informacionit dhe komunikimit të aksesueshëm.</t>
  </si>
  <si>
    <t>1.3.16 Përfshirja më e gjerë në politikat sektoriale dhe kuadrin ligjor dhe nënligjor e konceptit të aksesueshmërisë për personat me aftësi të kufizuara në komunikimet elektronike publike, veçanërisht në telefoninë celulare</t>
  </si>
  <si>
    <t>1.3.17 Hartimi nga AKEP-i i rregullave dhe standardeve për garantimin e aksesueshmërisë për personat me aftësi të kufizuara në shërbimet e rrjeteve të komunikimeve elektronike publike, sidomos të rrjeteve celulare dhe shërbimet e emergjencës</t>
  </si>
  <si>
    <t>1.3.18  Rritja e ndërgjegjësimit për produktet dhe shërbimet e aksesueshme për personat me aftësi të kufizuara dhe përfitimet nga teknologjitë ndihmëse për personat me aftësi të kufizuara, ashtu si dhe për pjesën tjetër të shoqërisë. Informacioni që do të vihet në dispozicion të publikut, duhet të sigurohet në formate të arritshme, sipas kërkesës, dhe të promovohet përmes kanaleve të përshtatshme duke përdorur komunikime efektive (përfshirë përshkrimin, gjuhën e shenjave ose përshkrimin audio në video, sipas nevojës) për të arritur tek personat me aftësi të kufizuara.</t>
  </si>
  <si>
    <t xml:space="preserve">1.3.19 Informimi periodik i organizatave të personave me aftësi të kufizuara lidhur me shërbimet e arritshme të telefonisë së lëvizshme dhe produktet e ofruara. </t>
  </si>
  <si>
    <t>1.3.20 Realizimi i studimeve vjetore mbi kënaqësinë e klientëve me aftësi të kufizuara mbi komunikimin e aksesueshëm të telefonisë së lëvizshme</t>
  </si>
  <si>
    <t>1.3.21 Realizimi i trajnimeve për organizatat e personave me aftësi të kufizuara mbi aksesueshmërinë e telefonisë së lëvizshme dhe përdorimin e saj nga kategori të ndryshme të personave me aftësi të kufizuara</t>
  </si>
  <si>
    <t>1.3.22 Ofrimi i udhëzimeve dhe stimujve për institucionet arsimore të larta dhe ato të formimit profesional të zhvillojnë kurse për studentët e shkencave kompjuterike, me fokus aksesueshmërinë e faqeve të internetit</t>
  </si>
  <si>
    <t xml:space="preserve">1.3.23 Hartimi/adoptimi i politikave që mundësojnë aksesueshmërinë e televizionit dhe programeve të ofruara për personat me aftësi të kufizuara, qofshin këto ligje apo politika të veçanta, apo të integruara në ato ekzistuese (audio, titra, gjuha e shenjave). Përfshirja në Kodin e Transmetimit dhe në Rregulloren e Transmetimit i të gjitha elementeve që mundësojnë realizimin e aksesueshmërisë.  </t>
  </si>
  <si>
    <t>1.3.24 Marrja e masave me qëllim që udhëzuesit elektronikë të programeve të përdorin ikonat e njohura ndërkombëtarisht si “CC” për  titrat dhe “AD” për përshkrimet audio.</t>
  </si>
  <si>
    <t>1.3.25 Adaptimi i standardeve teknike me qëllim që përdoruesit të marrin, dekodojnë dhe shfaqin shërbime të aksesueshme.</t>
  </si>
  <si>
    <t>1.3.26 Adoptimi i standardeve të cilësisë për shërbimet e aksesueshme.</t>
  </si>
  <si>
    <t>1.3.27 Trajnimi i stafit që punon me klientët si t’u shërbejnë klientëve me aftësi të kufizuara, duke shpjeguar se si ata mund të gjejnë informacion mbi shërbimet e aksesueshme në guidat elektronike të programit, si mund të përdorin shërbimet e vlefshme të aksesueshme.</t>
  </si>
  <si>
    <t>1.3.28 Ofrimi nga ofruesit e licencuar të shërbimeve të titrave, gjuhës së shenjave dhe versioneve audio në programe specifike, me qëllim sigurimin e aksesit për personat me aftësi të kufizuara</t>
  </si>
  <si>
    <t>1.3.29 Adaptimi i standardeve, bazuar në ato ndërkombëtare, të cilat sigurojnë bashkërendimin mes shërbimeve televizive dhe pajisjeve që u mundësojnë përdoruesve marrjen, dekodimin, shfaqjen e shërbimeve të aksesueshme për personat me aftësi të kufizuara.</t>
  </si>
  <si>
    <t>1.3.30 Monitorimi i shërbimeve të titrave, gjuhës së shenjave dhe versioneve audio në programe specifike televizive, përmes kontakteve të vazhdueshme me organizatat përfaqsuese të kategorive respektive të personave me aftësi të kufizuara</t>
  </si>
  <si>
    <t>1.3.31 Organizimi i fushatave të informimit e ndërgjegjësimit, me qëllim që personat me aftësi të kufizuara dhe organizatat e tyre të njohin kuadrin ligjor e politik që mundëson realizimin e të drejtës për transmetime televizive të aksesueshme për personat me aftësi të kufizuara.</t>
  </si>
  <si>
    <t>Adaptimi i standardeve ndërkombëtare të sigurimit të aksesueshmërisë në TIK në portale dhe sportele qeveritare.</t>
  </si>
  <si>
    <t>Marrja e masava me qëllim që ofruesit e shërbimeve të komunikimit në pikat e aksesit publik të shmangin diskriminimin ndaj personave me aftësi të kufizuara, duke siguruar aksesueshmërinë në objektet, produktet dhe shërbimet e tyre, në përputhje me standardet e miratuara.</t>
  </si>
  <si>
    <t>Zbatimi i standarteve të aksesueshmërisë në portalin https://e-albania.al dhe në të gjitha portalet e tjera ndërvepruese me publikun.Fokus i veçantë, do t’i kushtohet komunikimeve në lidhje me urgjencat/emergjencat.</t>
  </si>
  <si>
    <t>Trajnim i stafit për mënyrën shërbimit të personave me aftësi të kufizuara. Trajnime të tilla duhet të përfshijnë si informacionin e përdorimit të TIK-ut nga personat me aftësi të kufizuar, ashtu dhe informacione rreth parimeve të aksesueshmërisë.</t>
  </si>
  <si>
    <t>Trajnimi i një grupi trajnerësh nga të gjitha institucionet mbi përdorimin e informacionit dhe komunikimit të aksesueshëm në portale e sportele publike.</t>
  </si>
  <si>
    <t>Informimi dhe trajnimi i personave me aftësi të kufizuara mbi përdorimin e informacionit dhe komunikimit të aksesueshëm në portale e sportele publike.</t>
  </si>
  <si>
    <t>Hartimi dhe miratimi i Standardeve të Informacionit dhe Komunikimit të Aksesueshëm në publikimet, ngjarjet dhe takimet publike.</t>
  </si>
  <si>
    <t>Përgatitja dhe ofrimi nga të gjitha institucionet shtetërore e informacionit të shtypur/botuar, edhe në rrjete e portale, të arritshëm/aksesueshëm dhe përfshirës. Informacioni duhet të ofrohet në formate dhe gjuhë alternative.(Këtu, përfshihen edhe formatet e aksesueshme që duhen përdorur për ligje, VKM, strategji e plane veprimi etj.)</t>
  </si>
  <si>
    <t>Marrja e masave nga të gjitha institucionet qendrore dhe vendore për të siguruar që informacioni dhe komunikimet për politikat, publikimet ose ngjarjet publike të jenë të arritshëm për personat me aftësi të kufizuara.</t>
  </si>
  <si>
    <t>Realizimi i trajnimeve me stafet e institucioneve publike rreth tipologjive të informacionit dhe komunikimit të aksesueshëm.</t>
  </si>
  <si>
    <t xml:space="preserve">Informimi periodik i organizatave të personave me aftësi të kufizuara lidhur me shërbimet e arritshme të telefonisë së lëvizshme dhe produktet e ofruara. </t>
  </si>
  <si>
    <t>Realizimi i trajnimeve për organizatat e personave me aftësi të kufizuara mbi aksesueshmërinë e telefonisë së lëvizshme dhe përdorimin e saj nga kategori të ndryshme të personave me aftësi të kufizuara</t>
  </si>
  <si>
    <t xml:space="preserve">Hartimi/adoptimi i politikave që mundësojnë aksesueshmërinë e televizionit dhe programeve të ofruara për personat me aftësi të kufizuara, qofshin këto ligje apo politika të veçanta, apo të integruara në ato ekzistuese (audio, titra, gjuha e shenjave). Përfshirja në Kodin e Transmetimit dhe në Rregulloren e Transmetimit i të gjitha elementeve që mundësojnë realizimin e aksesueshmërisë.  </t>
  </si>
  <si>
    <t>Marrja e masave me qëllim që udhëzuesit elektronikë të programeve të përdorin ikonat e njohura ndërkombëtarisht si “CC” për  titrat dhe “AD” për përshkrimet audio.</t>
  </si>
  <si>
    <t>Adaptimi i standardeve teknike me qëllim që përdoruesit të marrin, dekodojnë dhe shfaqin shërbime të aksesueshme.</t>
  </si>
  <si>
    <t>Adoptimi i standardeve të cilësisë për shërbimet e aksesueshme.</t>
  </si>
  <si>
    <t>Organizimi i fushatave të informimit e ndërgjegjësimit, me qëllim që personat me aftësi të kufizuara dhe organizatat e tyre të njohin kuadrin ligjor e politik që mundëson realizimin e të drejtës për transmetime televizive të aksesueshme për personat me aftësi të kufizuara.</t>
  </si>
  <si>
    <t>01330 Menaxhimi dhe Zhvillimi i Administrates Publike</t>
  </si>
  <si>
    <t>AKEP</t>
  </si>
  <si>
    <t>AMA</t>
  </si>
  <si>
    <t>ADISA/MSHMS/ Të gjitha institucionet publike</t>
  </si>
  <si>
    <t xml:space="preserve"> MSHMS/M/Emergjencat Civile, 
Institucionet Publike</t>
  </si>
  <si>
    <t xml:space="preserve">AKSHI </t>
  </si>
  <si>
    <t>Të gjitha institucionet publike</t>
  </si>
  <si>
    <t>ADISA/Të gjitha institucionet publike</t>
  </si>
  <si>
    <t>MSHMS/Të gjitha institucionet publike</t>
  </si>
  <si>
    <t>ADISA/MSHMS/Të gjitha institucionet publike</t>
  </si>
  <si>
    <t>QBZ, Komisioneri për Informimin</t>
  </si>
  <si>
    <t>MIE/AKEP</t>
  </si>
  <si>
    <t>MIE, MSHMS, MB, QKUM</t>
  </si>
  <si>
    <t>MIE, MSHMS</t>
  </si>
  <si>
    <t>MSHMS, MIE, Operatorët</t>
  </si>
  <si>
    <t>MSHMS, MIE</t>
  </si>
  <si>
    <t>MIE,  MSHMS</t>
  </si>
  <si>
    <t>AKSHI, MSHMS</t>
  </si>
  <si>
    <t>Ofrues të shërbimeve</t>
  </si>
  <si>
    <t>Ofrues të shërbimeve, OJF të fushës së aftësisë së kufizuar</t>
  </si>
  <si>
    <t>MSHMS/Ofrues të shërbimeve</t>
  </si>
  <si>
    <t>Kosto Objektivi specifik 1.3</t>
  </si>
  <si>
    <t>Organizimi dhe kryerja e aktiviteteve të informimit dhe ndërgjegjësimit nga OPAK , për grupet që ata përfaqsojnë, lidhur me legjislacionin dhe procedurat e reja për përfitimin e shërbimit të NJF.</t>
  </si>
  <si>
    <t xml:space="preserve">2.1.10 Ridizenjimi i faqes së internetit të DNJF,  me qëllim që të jetë e aksesueshme për personat me aftësi të kufizuara.  </t>
  </si>
  <si>
    <t>Trajnimi i  punonjësve të qendrave të NJF  që e ofrojnë drejtpërdrejt shërbimin e ndihmës juridike parësore falas, lidhur me realizimin e të drejtave të personave me aftësi të kufizuara sipas qasjes së KDPAK</t>
  </si>
  <si>
    <t xml:space="preserve">03310 Ndihma Juridike Falas </t>
  </si>
  <si>
    <t>03310 Ndihma Juridike Falas</t>
  </si>
  <si>
    <t>Donatore te tjere</t>
  </si>
  <si>
    <t>UN</t>
  </si>
  <si>
    <t>2.2.1 Ndërgjegjësimi i institucioneve përkatëse  nëpërmjet kryerjes së  sesioneve trajnuese të punonjesve lidhur me  kapacitetin ligjor për të vepruar të përcaktuar nga KKDPAK</t>
  </si>
  <si>
    <t>2.2.2 Kryerja e një studimi vlerësues për situatënepersonave me aftësi të kufizuara në lidhje me kapacitetin ligjor për të vepruar</t>
  </si>
  <si>
    <t>2.2.3 Ndërhyrja për përmirësime në Kodin Civil, Kodin e ProcedurësCivile dhe Kodine Familjes, me qëllim njohjen e kapacitetit ligjor të personave me aftësi të kufizuara</t>
  </si>
  <si>
    <t>2.2.4 Realizimi i një procesi të gjerë konsultimi të projekt VKM “Për shërbimet e vendimmarrjes së mbështetur për personat me aftësi të kufizuar”, me qëllim që ai të jetë në përputhje të plotë me KDPAK, dhe miratimi i tij.</t>
  </si>
  <si>
    <t>2.2.5 Trajnimi i zyrtarëve në të gjitha institucionet gjyqësore në lidhje me KDPAK</t>
  </si>
  <si>
    <t>2.2.6 Rishikimi i Kodit të Procedurës Penale, në mënyrë që procedimet që heqin zotësinë e një personi për të vepruar të kthehen në gjykime dypalëshe dhe që ai person të konsiderohet si palë</t>
  </si>
  <si>
    <t>03440 Sistemi i Burgjeve</t>
  </si>
  <si>
    <t>01110 Planifikim Menaxhim Administrim,03440 Sistemi i Burgjeve</t>
  </si>
  <si>
    <t>2.3.6 Aplikimi i qasjes bio-psiko-sociale , duke mbështetur mjekët psikiatër që  shërbejnë në këto institucione me një psikolog</t>
  </si>
  <si>
    <t>Buxheti 2024-2026 (në lekë)</t>
  </si>
  <si>
    <t>Institucionet përgjegjegjëse</t>
  </si>
  <si>
    <t>Kosto Indiktive Totale</t>
  </si>
  <si>
    <t>Hendeku financiar
2021-2025
(në Lekë)</t>
  </si>
  <si>
    <t>Institucioni kontribues</t>
  </si>
  <si>
    <t>Afati Mbarimit</t>
  </si>
  <si>
    <t>PBA 2021-2023 ( në Lekë)</t>
  </si>
  <si>
    <t>Financim i Huaj (në lekë)</t>
  </si>
  <si>
    <t>Qëllimi strategjik 1: Të ofrohet akses i barabartë në shërbime dhe informacion për personat me aftësi të kufizuara</t>
  </si>
  <si>
    <t>Ministrite e Linjes/Task Force/ISHP&amp;ISHSHSH/NJVQV</t>
  </si>
  <si>
    <t>AKSHI/AKEP/AMA/MSHMS</t>
  </si>
  <si>
    <t>MIE/MSHMS/AKSHI</t>
  </si>
  <si>
    <t>MSHMS/MD/MFE/Shoqatat e transportit dhe OJQ</t>
  </si>
  <si>
    <t>Qëllimi strategjik 2: Garantimi i aksesit të barabartë në sistemin e drejtësisë për të gjithë personat me aftësi të kufizuara</t>
  </si>
  <si>
    <t>MSHMS/ANAD</t>
  </si>
  <si>
    <t>Kosto totale ne EUR
(kursi kembimit: 1 EUR = 124ALL)</t>
  </si>
  <si>
    <t>Qëllimi strategjik 3: Rritja e pjesëmarrjes në tregun e punës dhe nxitja e mundësive të barabarta për punë të denjë për personat me aftësi të kufizuar</t>
  </si>
  <si>
    <t>3.1.1 Shoqërimi i  i kurrikulave ekzistuese dhe atyre të reja me programe të përshtatura për të akomoduar nevojat e të gjitha kategorive të aftësisë së kufizuar</t>
  </si>
  <si>
    <t>3.1.2 Trajnimi i mësuesve dhe instruktorëve të AFP-së  për të punuar me personat me aftësi të kufizuara (si pjesë e grupeve kryesore dhe në grupe të veçanta kur është e nevojshme)</t>
  </si>
  <si>
    <t>3.1.3 Kryerja e përmirësimeve ligjore në lidhje me përfitimin falas nga personat me aftesi të kufizuar të kurseve të gjuhës së huaj dhe kompjuterit</t>
  </si>
  <si>
    <t>3.1.4 Zgjerimi gamës së kurseve të AFP-së, të unifikuara apo të vecanta, me qëllim nxitjen e punësueshmërisë të  personave me aftësi të kufizuar</t>
  </si>
  <si>
    <t>3.1.5 Promovimi i rasteve pozitive të punësimit pas mbarimit të arsimit profesional apo kurseve të formimit nga persona me aftësi të kufizuar</t>
  </si>
  <si>
    <t>3.1.6 Hartimi i një pakete të vecantë si pjesë e Fondit Social të Punësimit për ofrimin e pajisjeve të mjaftueshme profesionale për personat me aftësi të kufizuar që përfundojnë një kurs AFP-je dhe krijojnë biznesin e tyre</t>
  </si>
  <si>
    <t>3.1.7 Kryerja e një studimi duke u bazuar në eksperiencat e vendeve të tjera, lidhur me nevojat per vendosjen e  standardeve për shërbimet e rehabilitimit profesional për personat me aftësi të kufizuar, përfshirë standardet specifike për aksesueshmërinë e shërbimit</t>
  </si>
  <si>
    <t>3.1.8 Hartimi i programeve dhe kurrikulave të reja per kualifikimin e ndihmësve personale te PAK.</t>
  </si>
  <si>
    <t>3.1.9 Ngritja e kurseve të formimit profesional për interpretët e gjuhës së shenjave në zbatim të marrëveshjes me ANAD</t>
  </si>
  <si>
    <t>10550 Tregu i Punes</t>
  </si>
  <si>
    <t>01110 Planifikim Menaxhim Administrim/10550 Tregu i Punes</t>
  </si>
  <si>
    <t>10550 Tregu I Punes</t>
  </si>
  <si>
    <t>04170 Inspektimi i Punes</t>
  </si>
  <si>
    <t>Inspektoriani I Punes</t>
  </si>
  <si>
    <t>Qëllimi strategjik 4: Ofrimi i arsimit gjithëpërfshirës dhe cilësor për të gjithë fëmijët me aftësi të kufizuara</t>
  </si>
  <si>
    <t>AKPA/Inspektoriati i Punes</t>
  </si>
  <si>
    <t>09120 Arsimi Baze</t>
  </si>
  <si>
    <t xml:space="preserve">09120 Arsimi Baze </t>
  </si>
  <si>
    <t>MSHMS/DRAP</t>
  </si>
  <si>
    <t xml:space="preserve">09240 Arsimi Mesem (Profesional) </t>
  </si>
  <si>
    <t>Hartimi i metodologjisë për funksionimin e shkollave speciale si qendra burimore</t>
  </si>
  <si>
    <t>Qëllimi strategjik 5: Përmirësimi i cilësisë së jetës së personave me aftësi të kufizuar nëpërmjet shërbimeve/përfitimeve të aksesueshme, të përballueshme financiarisht dhe që kanë në qendër klientin</t>
  </si>
  <si>
    <t>Ofrimi i shërbimit të interpretimit në gjuhën e shenjave gjatë vlerësimit të personit nga Komisioni multidisiplinor i vlerësimit të AK</t>
  </si>
  <si>
    <t>Objektivi strategjik 5.1: Monitorimi i efekteve të vlerësimit të aftësisë së kufizuar nga komisionet e reja, sipas modelit bio-psiko-social</t>
  </si>
  <si>
    <t>SHSSH/NJVQV/MFE/Drejtoria e Strehimit</t>
  </si>
  <si>
    <t>2020-2025</t>
  </si>
  <si>
    <t>PBA 2021-2023</t>
  </si>
  <si>
    <t>2021-2025</t>
  </si>
  <si>
    <t>Hendeku Financiar</t>
  </si>
  <si>
    <t>Qëllimi strategjik 6: Realizimi i një kujdesi shëndetësor të aksesueshëm e të përballueshëm për të gjitha kategoritë e personave me aftësi të kufizuara</t>
  </si>
  <si>
    <t>07220 Shërbime të Kujdesit Shëndetësor Parësor</t>
  </si>
  <si>
    <t>07450 Shërbime të Shëndetit Publik</t>
  </si>
  <si>
    <t>07220 Shërbime të Shëndetit Publik</t>
  </si>
  <si>
    <t>Qëllimi strategjik 7: Garantimi i përfshirjes së plotë të personave me aftësi të kufizuara në jetën publike dhe politike në Shqipëri dhe mundësimi i mbrojtjes së interesave të tyre</t>
  </si>
  <si>
    <t xml:space="preserve">01610 Veprimtaria administrative e institucionit </t>
  </si>
  <si>
    <t xml:space="preserve">01120 Veprimtari legjislative, diplomacia dhe kontrolli parlamentar </t>
  </si>
  <si>
    <t>08230 Arti dhe Kultura</t>
  </si>
  <si>
    <t>01110 Planifikimi, Menaxhimi dhe Administrimi</t>
  </si>
  <si>
    <t>08140 Zhvillimi i Sportit dhe Rinise</t>
  </si>
  <si>
    <t>Natyra/ Tipologjia e Kostove</t>
  </si>
  <si>
    <t>Qëllimi i Politikave</t>
  </si>
  <si>
    <t>Kostoja Totale</t>
  </si>
  <si>
    <t xml:space="preserve">Kosto për tu </t>
  </si>
  <si>
    <t>Planifikuar në</t>
  </si>
  <si>
    <t xml:space="preserve"> Buxhetin 2024-2025</t>
  </si>
  <si>
    <t>Kostot e Planifikuara</t>
  </si>
  <si>
    <t>Institucionet e varësisë/NJVQV</t>
  </si>
  <si>
    <t>Kuveni, Partitë Politike</t>
  </si>
  <si>
    <t>P1: Të ofrohet akses i barabartë në shërbime dhe informacion për personat me aftësi të kufizuara</t>
  </si>
  <si>
    <t>P2: Garantimi i aksesit të barabartë në sistemin e drejtësisë për të gjithë personat me aftësi të kufizuara</t>
  </si>
  <si>
    <t>P3: Rritja e pjesëmarrjes në tregun e punës dhe nxitja e mundësive të barabarta për punë të denjë për personat me aftësi të kufizuar</t>
  </si>
  <si>
    <t>P4: Ofrimi i arsimit gjithëpërfshirës dhe cilësor për të gjithë fëmijët me aftësi të kufizuara</t>
  </si>
  <si>
    <t>P5: Përmirësimi i cilësisë së jetës së personave me aftësi të kufizuar nëpërmjet shërbimeve/përfitimeve të aksesueshme, të përballueshme financiarisht dhe që kanë në qendër klientin</t>
  </si>
  <si>
    <t>P6: Realizimi i një kujdesi shëndetësor të aksesueshëm e të përballueshëm për të gjitha kategoritë e personave me aftësi të kufizuara</t>
  </si>
  <si>
    <t>P7: Garantimi i përfshirjes së plotë të personave me aftësi të kufizuara në jetën publike dhe politike në Shqipëri dhe mundësimi i mbrojtjes së interesave të tyre</t>
  </si>
  <si>
    <t>P8:  Krijimi i sinergjive ndërmjet institucioneve dhe sektorëve të ndryshëm për nxitjen dhe monitorimin e të drejtave të personave me aftësi të kufizuara në mënyrë të plotë, të vazhdueshme dhe të qëndrueshme</t>
  </si>
  <si>
    <t>Qëllimi strategjik 8: Krijimi i sinergjive ndërmjet institucioneve dhe sektorëve të ndryshëm për nxitjen dhe monitorimin e të drejtave të personave me aftësi të kufizuara në mënyrë të plotë, të vazhdueshme dhe të qëndrueshme</t>
  </si>
  <si>
    <t>Hartimi i nje Guide Metodologjike për të ndihmuar Bashkitë në kryerjen e një vlerësimi të nevojave të përfshirjes  së personave me aftësi të kufizuara që jetojnë në territorin e tyre</t>
  </si>
  <si>
    <t>Hendek financiar 2021-2025</t>
  </si>
  <si>
    <t>MTBP 2021-2023</t>
  </si>
  <si>
    <r>
      <t xml:space="preserve">Nevojat  (në </t>
    </r>
    <r>
      <rPr>
        <b/>
        <sz val="11"/>
        <color theme="1"/>
        <rFont val="Arial"/>
        <family val="2"/>
      </rPr>
      <t>Lek)</t>
    </r>
  </si>
  <si>
    <t xml:space="preserve">Financim i Huaj </t>
  </si>
  <si>
    <t>Buxheti 2024-2025</t>
  </si>
  <si>
    <t>Kosto totale te PKV</t>
  </si>
  <si>
    <t>Institucionet përgjegjëse</t>
  </si>
  <si>
    <t>Kosto totale Qëllimi i Politikës I (objektiva specifike 1.1+1.2+1.3)</t>
  </si>
  <si>
    <t>Kosto totale Qëllimi i Politikës II (objektiva specifike 2.1+2.2+2.3)</t>
  </si>
  <si>
    <t>Kosto totale Qëllimi i Politikës III (objektiva specifike 3.1+3.2+3.3)</t>
  </si>
  <si>
    <t>Kosto totale Qëllimi i Politikës IV (objektiva specifike 4.1+4.2)</t>
  </si>
  <si>
    <t>Kosto totale Qëllimi i Politikës V (objektiva specifike 5.1+5.2+5.3)</t>
  </si>
  <si>
    <t>Kosto totale Qëllimi i Politikës VI (objektiva specifike 6.1+6.2)</t>
  </si>
  <si>
    <t>Institucionet e varësisë</t>
  </si>
  <si>
    <t>Kosto totale Qëllimi i Politikës VII (objektiva specifike 7.1+7.2+7.3+7.4)</t>
  </si>
  <si>
    <t>Ministritë e Linjës</t>
  </si>
  <si>
    <t>Kosto totale Qëllimi i Politikës VIII (objektiva specifike 8.1+8.2+8.3+8.4)</t>
  </si>
  <si>
    <t>Qëllimi strategjik: Përmirësimi i cilësisë së jetës së personave me aftësi të kufizuar nëpërmjet shërbimeve/përfitimeve të aksesueshme, të përballueshme financiarisht dhe që kanë në qendër klientin</t>
  </si>
  <si>
    <t>Hartimi dhe miratimi i amendimeve të duhura ligjore me qëllim shtrirjen e përfitimit nga zbatimi i programeve të strehimit për të gjitha kategoritë e personave me aftësi të kufizua</t>
  </si>
  <si>
    <r>
      <rPr>
        <b/>
        <sz val="12"/>
        <color indexed="10"/>
        <rFont val="Times New Roman"/>
        <family val="1"/>
      </rPr>
      <t xml:space="preserve">Kosto totale Qëllimi i Politikës I </t>
    </r>
    <r>
      <rPr>
        <sz val="12"/>
        <color theme="1"/>
        <rFont val="Times New Roman"/>
        <family val="1"/>
      </rPr>
      <t xml:space="preserve">
(objektiva specifike 1.1+1.2+1.3)</t>
    </r>
  </si>
  <si>
    <r>
      <rPr>
        <b/>
        <sz val="12"/>
        <color indexed="10"/>
        <rFont val="Times New Roman"/>
        <family val="1"/>
      </rPr>
      <t xml:space="preserve">Kosto totale Qëllimi i Politikës II </t>
    </r>
    <r>
      <rPr>
        <sz val="12"/>
        <color theme="1"/>
        <rFont val="Times New Roman"/>
        <family val="1"/>
      </rPr>
      <t xml:space="preserve">
(objektiva specifike 2.1+2.2+2.3+2.4+2.5)</t>
    </r>
  </si>
  <si>
    <r>
      <rPr>
        <b/>
        <sz val="12"/>
        <color indexed="10"/>
        <rFont val="Times New Roman"/>
        <family val="1"/>
      </rPr>
      <t xml:space="preserve">Kosto totale Qëllimi i Politikës III </t>
    </r>
    <r>
      <rPr>
        <sz val="12"/>
        <color theme="1"/>
        <rFont val="Times New Roman"/>
        <family val="1"/>
      </rPr>
      <t xml:space="preserve">
(objektiva specifike 3.1+3.2+3.3)</t>
    </r>
  </si>
  <si>
    <r>
      <rPr>
        <b/>
        <sz val="12"/>
        <color indexed="10"/>
        <rFont val="Times New Roman"/>
        <family val="1"/>
      </rPr>
      <t xml:space="preserve">Kosto totale Qëllimi i Politikës IV </t>
    </r>
    <r>
      <rPr>
        <sz val="12"/>
        <color theme="1"/>
        <rFont val="Times New Roman"/>
        <family val="1"/>
      </rPr>
      <t xml:space="preserve">
(objektiva specifike 4.1+4.2)</t>
    </r>
  </si>
  <si>
    <r>
      <rPr>
        <b/>
        <sz val="12"/>
        <color indexed="10"/>
        <rFont val="Times New Roman"/>
        <family val="1"/>
      </rPr>
      <t xml:space="preserve">Kosto totale Qëllimi i Politikës V </t>
    </r>
    <r>
      <rPr>
        <sz val="12"/>
        <color theme="1"/>
        <rFont val="Times New Roman"/>
        <family val="1"/>
      </rPr>
      <t xml:space="preserve">
(objektiva specifike 5.1+5.2+5.3)</t>
    </r>
  </si>
  <si>
    <r>
      <rPr>
        <b/>
        <sz val="12"/>
        <color indexed="10"/>
        <rFont val="Times New Roman"/>
        <family val="1"/>
      </rPr>
      <t xml:space="preserve">Kosto totale Qëllimi i Politikës VI </t>
    </r>
    <r>
      <rPr>
        <sz val="12"/>
        <color theme="1"/>
        <rFont val="Times New Roman"/>
        <family val="1"/>
      </rPr>
      <t xml:space="preserve">
(objektiva specifike 6.1+6.2+6.3+6.4+6.5+6.6)</t>
    </r>
  </si>
  <si>
    <r>
      <rPr>
        <b/>
        <sz val="12"/>
        <color indexed="10"/>
        <rFont val="Times New Roman"/>
        <family val="1"/>
      </rPr>
      <t xml:space="preserve">Kosto totale Qëllimi i Politikës VII </t>
    </r>
    <r>
      <rPr>
        <sz val="12"/>
        <color theme="1"/>
        <rFont val="Times New Roman"/>
        <family val="1"/>
      </rPr>
      <t xml:space="preserve">
(objektiva specifike 7.1+7.2+7.3)</t>
    </r>
  </si>
  <si>
    <r>
      <rPr>
        <b/>
        <sz val="12"/>
        <color indexed="10"/>
        <rFont val="Times New Roman"/>
        <family val="1"/>
      </rPr>
      <t xml:space="preserve">Kosto totale Qëllimi i Politikës VII </t>
    </r>
    <r>
      <rPr>
        <sz val="12"/>
        <color theme="1"/>
        <rFont val="Times New Roman"/>
        <family val="1"/>
      </rPr>
      <t xml:space="preserve">
(objektiva specifike 8.1+8.2+8.3)</t>
    </r>
  </si>
  <si>
    <r>
      <t>N</t>
    </r>
    <r>
      <rPr>
        <sz val="11"/>
        <color theme="0"/>
        <rFont val="Calibri"/>
        <family val="2"/>
      </rPr>
      <t>ë</t>
    </r>
    <r>
      <rPr>
        <sz val="5.5"/>
        <color theme="0"/>
        <rFont val="Calibri"/>
        <family val="2"/>
      </rPr>
      <t xml:space="preserve"> %</t>
    </r>
  </si>
  <si>
    <t xml:space="preserve">VIII. Programi buxhetor që kontribuon për qëllimin e politikës: 10430 Programi Përkujdesja Sociale ; 13/01110 Programi Planifikim Menaxhim Administrim </t>
  </si>
  <si>
    <t>VII. Programi buxhetor që kontribuon për qëllimin e politikës: 01610 Veprimtaria administrative e institucionit; 12/01110 Planifikim Menaxhim Administrim; 08230 Arti dhe Kultura; 08140 Zhvillimi i Sportit dhe Rinise</t>
  </si>
  <si>
    <t>VI. Programi buxhetor që kontribuon për qëllimin e politikës: 10430 Përkujdesja Sociale; 07220 Shërbime të Kujdesit Shëndetësor Parësor; 07450 Shërbime të Shëndetit Publik; 13/01110 Planifikim Menaxhim Administrim</t>
  </si>
  <si>
    <t>V. Programi buxhetor që kontribuon për qëllimin e politikës: 10430 Përkujdesja Sociale; 13/01110 Planifikim Menaxhim Administrim</t>
  </si>
  <si>
    <t>IV. Programi buxhetor që kontribuon për qëllimin e politikës: 11/01110 Planifikim Menaxhim Administrim; 09120 Arsimi Baze; 09240 Arsimi Mesem (Profesional)</t>
  </si>
  <si>
    <t>MFE/AKPA</t>
  </si>
  <si>
    <t>III. Programi buxhetor që kontribuon për qëllimin e politikës: 10550 Tregu i Punes; 04170 Inspektimi i Punes; 10430 Përkujdesja Sociale; 10/01110 Planifikim Menaxhim Administrim</t>
  </si>
  <si>
    <t>II. Programi buxhetor që kontribuon për qëllimin e politikës: 14/01110 Planifikim Menaxhim Administrim,03440 Sistemi i Burgjeve; 03310 Ndihma Juridike Falas; 13/01110 Planifikim Menaxhim Administrim; 10430 Përkujdesja Sociale</t>
  </si>
  <si>
    <t>09450 Fonde për Arsimin e Larte</t>
  </si>
  <si>
    <t>II. Programi buxhetor që kontribuon për qëllimin e politikës: 13/ 01110 Planifikim Menaxhim Administrim; 01140 e-Qeverisja; 01330 Menaxhimi dhe Zhvillimi i Administrates Publike; 04520 Transporti Rrugor; 06/01110 Planifikim Menaxhim Administrim; 10430 Përkujdesja Sociale; 09450 Fonde për Arsimin e Larte; AMA; AKEP</t>
  </si>
</sst>
</file>

<file path=xl/styles.xml><?xml version="1.0" encoding="utf-8"?>
<styleSheet xmlns="http://schemas.openxmlformats.org/spreadsheetml/2006/main">
  <numFmts count="5">
    <numFmt numFmtId="41" formatCode="_(* #,##0_);_(* \(#,##0\);_(* &quot;-&quot;_);_(@_)"/>
    <numFmt numFmtId="43" formatCode="_(* #,##0.00_);_(* \(#,##0.00\);_(* &quot;-&quot;??_);_(@_)"/>
    <numFmt numFmtId="164" formatCode="_-* #,##0.00_-;\-* #,##0.00_-;_-* &quot;-&quot;??_-;_-@_-"/>
    <numFmt numFmtId="165" formatCode="_(* #,##0_);_(* \(#,##0\);_(* &quot;-&quot;??_);_(@_)"/>
    <numFmt numFmtId="166" formatCode="0.0%"/>
  </numFmts>
  <fonts count="48">
    <font>
      <sz val="11"/>
      <color theme="1"/>
      <name val="Calibri"/>
      <family val="2"/>
      <scheme val="minor"/>
    </font>
    <font>
      <sz val="10"/>
      <name val="Arial"/>
      <family val="2"/>
      <charset val="238"/>
    </font>
    <font>
      <sz val="10"/>
      <name val="Arial"/>
      <family val="2"/>
    </font>
    <font>
      <b/>
      <sz val="9"/>
      <color indexed="10"/>
      <name val="Times New Roman"/>
      <family val="1"/>
    </font>
    <font>
      <sz val="9"/>
      <color indexed="8"/>
      <name val="Times New Roman"/>
      <family val="1"/>
    </font>
    <font>
      <b/>
      <sz val="9"/>
      <color indexed="8"/>
      <name val="Times New Roman"/>
      <family val="1"/>
    </font>
    <font>
      <b/>
      <i/>
      <sz val="9"/>
      <color indexed="30"/>
      <name val="Times New Roman"/>
      <family val="1"/>
    </font>
    <font>
      <sz val="8"/>
      <name val="Calibri"/>
      <family val="2"/>
    </font>
    <font>
      <sz val="11"/>
      <color theme="1"/>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sz val="12"/>
      <color rgb="FF000000"/>
      <name val="Times New Roman"/>
      <family val="1"/>
    </font>
    <font>
      <sz val="9"/>
      <color rgb="FFFF0000"/>
      <name val="Times New Roman"/>
      <family val="1"/>
    </font>
    <font>
      <b/>
      <sz val="12"/>
      <color rgb="FF000000"/>
      <name val="Times New Roman"/>
      <family val="1"/>
    </font>
    <font>
      <sz val="12"/>
      <color theme="1"/>
      <name val="Times New Roman"/>
      <family val="1"/>
    </font>
    <font>
      <b/>
      <sz val="9"/>
      <color theme="1"/>
      <name val="Times New Roman"/>
      <family val="1"/>
    </font>
    <font>
      <sz val="9"/>
      <color theme="1"/>
      <name val="Times New Roman"/>
      <family val="1"/>
    </font>
    <font>
      <b/>
      <sz val="9"/>
      <color rgb="FF000000"/>
      <name val="Times New Roman"/>
      <family val="1"/>
    </font>
    <font>
      <sz val="9"/>
      <color rgb="FF000000"/>
      <name val="Times New Roman"/>
      <family val="1"/>
    </font>
    <font>
      <b/>
      <sz val="9"/>
      <color rgb="FFFF0000"/>
      <name val="Times New Roman"/>
      <family val="1"/>
    </font>
    <font>
      <b/>
      <sz val="11"/>
      <color rgb="FFFF0000"/>
      <name val="Calibri"/>
      <family val="2"/>
      <scheme val="minor"/>
    </font>
    <font>
      <sz val="9"/>
      <color theme="1"/>
      <name val="Arial"/>
      <family val="2"/>
    </font>
    <font>
      <sz val="9"/>
      <color rgb="FF000000"/>
      <name val="Arial"/>
      <family val="2"/>
    </font>
    <font>
      <b/>
      <sz val="9"/>
      <color rgb="FF000000"/>
      <name val="Arial"/>
      <family val="2"/>
    </font>
    <font>
      <b/>
      <sz val="9"/>
      <color theme="1"/>
      <name val="Arial"/>
      <family val="2"/>
    </font>
    <font>
      <b/>
      <i/>
      <sz val="9"/>
      <color rgb="FFFF0000"/>
      <name val="Arial"/>
      <family val="2"/>
    </font>
    <font>
      <b/>
      <sz val="9"/>
      <color rgb="FFFFFFFF"/>
      <name val="Arial"/>
      <family val="2"/>
    </font>
    <font>
      <b/>
      <i/>
      <sz val="9"/>
      <color rgb="FF000000"/>
      <name val="Arial"/>
      <family val="2"/>
    </font>
    <font>
      <b/>
      <sz val="14"/>
      <color rgb="FF0070C0"/>
      <name val="Calibri"/>
      <family val="2"/>
      <scheme val="minor"/>
    </font>
    <font>
      <b/>
      <sz val="11"/>
      <color theme="1"/>
      <name val="Arial"/>
      <family val="2"/>
    </font>
    <font>
      <b/>
      <i/>
      <sz val="9"/>
      <color theme="1"/>
      <name val="Arial"/>
      <family val="2"/>
    </font>
    <font>
      <sz val="11"/>
      <color rgb="FFFF0000"/>
      <name val="Calibri"/>
      <family val="2"/>
      <scheme val="minor"/>
    </font>
    <font>
      <b/>
      <sz val="12"/>
      <color theme="1"/>
      <name val="Times New Roman"/>
      <family val="1"/>
    </font>
    <font>
      <b/>
      <sz val="12"/>
      <color indexed="10"/>
      <name val="Times New Roman"/>
      <family val="1"/>
    </font>
    <font>
      <b/>
      <sz val="12"/>
      <color rgb="FFFF0000"/>
      <name val="Times New Roman"/>
      <family val="1"/>
    </font>
    <font>
      <sz val="9"/>
      <name val="Times New Roman"/>
      <family val="1"/>
    </font>
    <font>
      <sz val="11"/>
      <name val="Calibri"/>
      <family val="2"/>
      <scheme val="minor"/>
    </font>
    <font>
      <b/>
      <sz val="12"/>
      <name val="Times New Roman"/>
      <family val="1"/>
    </font>
    <font>
      <b/>
      <sz val="14"/>
      <color theme="8"/>
      <name val="Times New Roman"/>
      <family val="1"/>
    </font>
    <font>
      <sz val="8"/>
      <color rgb="FF000000"/>
      <name val="Arial"/>
      <family val="2"/>
    </font>
    <font>
      <b/>
      <sz val="14"/>
      <color theme="8" tint="-0.249977111117893"/>
      <name val="Times New Roman"/>
      <family val="1"/>
    </font>
    <font>
      <sz val="14"/>
      <color theme="8" tint="-0.249977111117893"/>
      <name val="Times New Roman"/>
      <family val="1"/>
    </font>
    <font>
      <b/>
      <sz val="12"/>
      <color indexed="8"/>
      <name val="Times New Roman"/>
      <family val="1"/>
    </font>
    <font>
      <sz val="12"/>
      <color indexed="8"/>
      <name val="Times New Roman"/>
      <family val="1"/>
    </font>
    <font>
      <sz val="14"/>
      <color theme="8"/>
      <name val="Times New Roman"/>
      <family val="1"/>
    </font>
    <font>
      <sz val="11"/>
      <color theme="0"/>
      <name val="Calibri"/>
      <family val="2"/>
    </font>
    <font>
      <sz val="5.5"/>
      <color theme="0"/>
      <name val="Calibri"/>
      <family val="2"/>
    </font>
  </fonts>
  <fills count="14">
    <fill>
      <patternFill patternType="none"/>
    </fill>
    <fill>
      <patternFill patternType="gray125"/>
    </fill>
    <fill>
      <patternFill patternType="solid">
        <fgColor theme="5"/>
      </patternFill>
    </fill>
    <fill>
      <patternFill patternType="solid">
        <fgColor theme="8"/>
      </patternFill>
    </fill>
    <fill>
      <patternFill patternType="solid">
        <fgColor theme="9"/>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4472C4"/>
        <bgColor indexed="64"/>
      </patternFill>
    </fill>
    <fill>
      <patternFill patternType="solid">
        <fgColor rgb="FFD9E2F3"/>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bottom style="medium">
        <color rgb="FF4472C4"/>
      </bottom>
      <diagonal/>
    </border>
    <border>
      <left/>
      <right style="medium">
        <color rgb="FF8EAADB"/>
      </right>
      <top/>
      <bottom style="medium">
        <color rgb="FF8EAADB"/>
      </bottom>
      <diagonal/>
    </border>
    <border>
      <left/>
      <right style="medium">
        <color indexed="64"/>
      </right>
      <top/>
      <bottom style="medium">
        <color rgb="FF4472C4"/>
      </bottom>
      <diagonal/>
    </border>
    <border>
      <left style="medium">
        <color indexed="64"/>
      </left>
      <right style="medium">
        <color rgb="FF8EAADB"/>
      </right>
      <top/>
      <bottom style="medium">
        <color rgb="FF8EAADB"/>
      </bottom>
      <diagonal/>
    </border>
    <border>
      <left/>
      <right style="medium">
        <color indexed="64"/>
      </right>
      <top/>
      <bottom style="medium">
        <color rgb="FF8EAADB"/>
      </bottom>
      <diagonal/>
    </border>
    <border>
      <left style="medium">
        <color indexed="64"/>
      </left>
      <right style="medium">
        <color rgb="FF8EAADB"/>
      </right>
      <top/>
      <bottom/>
      <diagonal/>
    </border>
    <border>
      <left style="medium">
        <color indexed="64"/>
      </left>
      <right style="medium">
        <color rgb="FF8EAADB"/>
      </right>
      <top/>
      <bottom style="medium">
        <color indexed="64"/>
      </bottom>
      <diagonal/>
    </border>
    <border>
      <left style="medium">
        <color rgb="FF8EAADB"/>
      </left>
      <right style="medium">
        <color indexed="64"/>
      </right>
      <top style="medium">
        <color rgb="FF4472C4"/>
      </top>
      <bottom/>
      <diagonal/>
    </border>
    <border>
      <left style="medium">
        <color rgb="FF8EAADB"/>
      </left>
      <right style="medium">
        <color indexed="64"/>
      </right>
      <top/>
      <bottom style="medium">
        <color rgb="FF8EAADB"/>
      </bottom>
      <diagonal/>
    </border>
    <border>
      <left style="medium">
        <color indexed="64"/>
      </left>
      <right style="medium">
        <color rgb="FF8EAADB"/>
      </right>
      <top style="medium">
        <color rgb="FF8EAADB"/>
      </top>
      <bottom/>
      <diagonal/>
    </border>
    <border>
      <left style="medium">
        <color indexed="64"/>
      </left>
      <right/>
      <top/>
      <bottom style="medium">
        <color rgb="FF4472C4"/>
      </bottom>
      <diagonal/>
    </border>
    <border>
      <left style="medium">
        <color indexed="64"/>
      </left>
      <right style="medium">
        <color rgb="FF8EAADB"/>
      </right>
      <top style="medium">
        <color rgb="FF4472C4"/>
      </top>
      <bottom/>
      <diagonal/>
    </border>
    <border>
      <left style="medium">
        <color rgb="FF8EAADB"/>
      </left>
      <right style="medium">
        <color rgb="FF8EAADB"/>
      </right>
      <top style="medium">
        <color rgb="FF8EAADB"/>
      </top>
      <bottom/>
      <diagonal/>
    </border>
    <border>
      <left style="medium">
        <color rgb="FF8EAADB"/>
      </left>
      <right style="medium">
        <color rgb="FF8EAADB"/>
      </right>
      <top/>
      <bottom style="medium">
        <color indexed="64"/>
      </bottom>
      <diagonal/>
    </border>
    <border>
      <left style="medium">
        <color rgb="FF8EAADB"/>
      </left>
      <right style="medium">
        <color indexed="64"/>
      </right>
      <top style="medium">
        <color rgb="FF8EAADB"/>
      </top>
      <bottom/>
      <diagonal/>
    </border>
    <border>
      <left style="medium">
        <color rgb="FF8EAADB"/>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medium">
        <color rgb="FF8EAADB"/>
      </bottom>
      <diagonal/>
    </border>
    <border>
      <left style="medium">
        <color rgb="FF8EAADB"/>
      </left>
      <right/>
      <top style="medium">
        <color rgb="FF8EAADB"/>
      </top>
      <bottom/>
      <diagonal/>
    </border>
    <border>
      <left style="medium">
        <color rgb="FF8EAADB"/>
      </left>
      <right/>
      <top/>
      <bottom style="medium">
        <color indexed="64"/>
      </bottom>
      <diagonal/>
    </border>
  </borders>
  <cellStyleXfs count="15">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43" fontId="8" fillId="0" borderId="0" applyFont="0" applyFill="0" applyBorder="0" applyAlignment="0" applyProtection="0"/>
    <xf numFmtId="43" fontId="2" fillId="0" borderId="0" applyFont="0" applyFill="0" applyBorder="0" applyAlignment="0" applyProtection="0"/>
    <xf numFmtId="164" fontId="8" fillId="0" borderId="0" applyFont="0" applyFill="0" applyBorder="0" applyAlignment="0" applyProtection="0"/>
    <xf numFmtId="0" fontId="2" fillId="0" borderId="0"/>
    <xf numFmtId="0" fontId="2" fillId="0" borderId="0"/>
    <xf numFmtId="0" fontId="2" fillId="0" borderId="0"/>
    <xf numFmtId="0" fontId="8" fillId="0" borderId="0"/>
    <xf numFmtId="0" fontId="10" fillId="0" borderId="0"/>
    <xf numFmtId="0" fontId="1" fillId="0" borderId="0"/>
    <xf numFmtId="0" fontId="2" fillId="0" borderId="0"/>
    <xf numFmtId="9" fontId="8" fillId="0" borderId="0" applyFont="0" applyFill="0" applyBorder="0" applyAlignment="0" applyProtection="0"/>
  </cellStyleXfs>
  <cellXfs count="415">
    <xf numFmtId="0" fontId="0" fillId="0" borderId="0" xfId="0"/>
    <xf numFmtId="0" fontId="12" fillId="0" borderId="1" xfId="0" applyFont="1" applyBorder="1" applyAlignment="1">
      <alignment horizontal="center" vertical="center" wrapText="1"/>
    </xf>
    <xf numFmtId="0" fontId="15" fillId="0" borderId="1" xfId="0" applyFont="1" applyBorder="1" applyAlignment="1">
      <alignment horizontal="center" vertical="center"/>
    </xf>
    <xf numFmtId="3" fontId="11" fillId="5" borderId="0" xfId="0" applyNumberFormat="1" applyFont="1" applyFill="1"/>
    <xf numFmtId="3" fontId="11" fillId="6" borderId="0" xfId="0" applyNumberFormat="1" applyFont="1" applyFill="1"/>
    <xf numFmtId="0" fontId="14" fillId="5" borderId="0" xfId="0" applyFont="1" applyFill="1" applyBorder="1" applyAlignment="1">
      <alignment horizontal="center" vertical="center" wrapText="1"/>
    </xf>
    <xf numFmtId="0" fontId="16" fillId="0" borderId="0" xfId="0" applyFont="1"/>
    <xf numFmtId="0" fontId="17" fillId="0" borderId="0" xfId="0" applyFont="1"/>
    <xf numFmtId="0" fontId="17" fillId="0" borderId="0" xfId="0" applyFont="1" applyFill="1" applyAlignment="1">
      <alignment horizontal="center"/>
    </xf>
    <xf numFmtId="0" fontId="18" fillId="0" borderId="2"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17" fillId="0" borderId="1" xfId="0" applyFont="1" applyBorder="1" applyAlignment="1">
      <alignment wrapText="1"/>
    </xf>
    <xf numFmtId="0" fontId="17" fillId="0" borderId="1" xfId="0" applyFont="1" applyBorder="1"/>
    <xf numFmtId="0" fontId="17" fillId="0" borderId="1" xfId="0" applyFont="1" applyFill="1" applyBorder="1" applyAlignment="1">
      <alignment horizont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center"/>
    </xf>
    <xf numFmtId="0" fontId="17" fillId="0" borderId="1" xfId="0" applyFont="1" applyBorder="1" applyAlignment="1">
      <alignment horizontal="center" wrapText="1"/>
    </xf>
    <xf numFmtId="0" fontId="17" fillId="0" borderId="2" xfId="0" applyFont="1" applyBorder="1"/>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0" fontId="17" fillId="0" borderId="0" xfId="0" applyFont="1" applyFill="1"/>
    <xf numFmtId="3" fontId="14" fillId="0" borderId="12"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3" fontId="12"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3" fontId="12" fillId="0" borderId="1" xfId="4" applyNumberFormat="1" applyFont="1" applyFill="1" applyBorder="1" applyAlignment="1">
      <alignment horizontal="center" vertical="center" wrapText="1"/>
    </xf>
    <xf numFmtId="3" fontId="14" fillId="0" borderId="1" xfId="4" applyNumberFormat="1" applyFont="1" applyFill="1" applyBorder="1" applyAlignment="1">
      <alignment horizontal="center" vertical="center" wrapText="1"/>
    </xf>
    <xf numFmtId="3" fontId="17" fillId="0" borderId="0" xfId="0" applyNumberFormat="1" applyFont="1" applyFill="1" applyAlignment="1">
      <alignment horizontal="center" vertical="center"/>
    </xf>
    <xf numFmtId="3" fontId="19" fillId="0" borderId="1" xfId="0" applyNumberFormat="1" applyFont="1" applyFill="1" applyBorder="1" applyAlignment="1">
      <alignment horizontal="center" vertical="center" wrapText="1"/>
    </xf>
    <xf numFmtId="3" fontId="19" fillId="0" borderId="1" xfId="4" applyNumberFormat="1" applyFont="1" applyBorder="1" applyAlignment="1">
      <alignment horizontal="center" vertical="center" wrapText="1"/>
    </xf>
    <xf numFmtId="3" fontId="19" fillId="0" borderId="1" xfId="4"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xf>
    <xf numFmtId="3" fontId="19" fillId="0" borderId="14" xfId="4" applyNumberFormat="1" applyFont="1" applyBorder="1" applyAlignment="1">
      <alignment horizontal="center" vertical="center" wrapText="1"/>
    </xf>
    <xf numFmtId="0" fontId="16" fillId="0" borderId="0" xfId="0" applyFont="1" applyFill="1"/>
    <xf numFmtId="3" fontId="17" fillId="0" borderId="1" xfId="4" applyNumberFormat="1" applyFont="1" applyBorder="1" applyAlignment="1">
      <alignment horizontal="center" vertical="center"/>
    </xf>
    <xf numFmtId="3" fontId="17" fillId="0" borderId="0" xfId="0" applyNumberFormat="1" applyFont="1" applyAlignment="1">
      <alignment horizontal="center" vertical="center"/>
    </xf>
    <xf numFmtId="3" fontId="17" fillId="0" borderId="1" xfId="0" applyNumberFormat="1" applyFont="1" applyBorder="1" applyAlignment="1">
      <alignment horizontal="center" vertical="center"/>
    </xf>
    <xf numFmtId="3" fontId="17" fillId="0" borderId="14" xfId="0" applyNumberFormat="1" applyFont="1" applyBorder="1" applyAlignment="1">
      <alignment horizontal="center" vertical="center"/>
    </xf>
    <xf numFmtId="3" fontId="17" fillId="0" borderId="1" xfId="4" applyNumberFormat="1" applyFont="1" applyFill="1" applyBorder="1" applyAlignment="1">
      <alignment horizontal="center" vertical="center"/>
    </xf>
    <xf numFmtId="3" fontId="17" fillId="0" borderId="14" xfId="4" applyNumberFormat="1" applyFont="1" applyBorder="1" applyAlignment="1">
      <alignment horizontal="center" vertical="center"/>
    </xf>
    <xf numFmtId="3" fontId="0" fillId="0" borderId="0" xfId="0" applyNumberFormat="1" applyAlignment="1">
      <alignment horizontal="center" vertical="center"/>
    </xf>
    <xf numFmtId="3" fontId="0" fillId="0" borderId="18" xfId="0" applyNumberFormat="1" applyBorder="1" applyAlignment="1">
      <alignment horizontal="center" vertical="center"/>
    </xf>
    <xf numFmtId="3" fontId="8" fillId="0" borderId="0" xfId="14" applyNumberFormat="1" applyFont="1" applyAlignment="1">
      <alignment horizontal="center" vertical="center"/>
    </xf>
    <xf numFmtId="0" fontId="17" fillId="0" borderId="1" xfId="0" applyFont="1" applyFill="1" applyBorder="1"/>
    <xf numFmtId="0" fontId="16" fillId="0" borderId="5" xfId="0" applyFont="1" applyBorder="1" applyAlignment="1">
      <alignment horizontal="center" vertical="center"/>
    </xf>
    <xf numFmtId="0" fontId="16" fillId="0" borderId="5" xfId="0" applyFont="1" applyBorder="1" applyAlignment="1">
      <alignment horizontal="center"/>
    </xf>
    <xf numFmtId="0" fontId="20" fillId="0" borderId="1" xfId="0" applyFont="1" applyFill="1" applyBorder="1" applyAlignment="1">
      <alignment horizontal="center" vertical="center" wrapText="1"/>
    </xf>
    <xf numFmtId="3" fontId="17" fillId="0" borderId="0" xfId="4" applyNumberFormat="1" applyFont="1" applyFill="1" applyBorder="1" applyAlignment="1">
      <alignment horizontal="center" vertical="center"/>
    </xf>
    <xf numFmtId="0" fontId="16" fillId="0" borderId="5" xfId="0" applyFont="1" applyFill="1" applyBorder="1" applyAlignment="1">
      <alignment horizontal="center"/>
    </xf>
    <xf numFmtId="0" fontId="17" fillId="0" borderId="0" xfId="0" applyFont="1" applyFill="1" applyBorder="1"/>
    <xf numFmtId="3" fontId="17" fillId="0" borderId="0" xfId="0" applyNumberFormat="1" applyFont="1" applyFill="1" applyBorder="1"/>
    <xf numFmtId="3" fontId="0" fillId="0" borderId="0" xfId="0" applyNumberFormat="1" applyFill="1" applyAlignment="1">
      <alignment horizontal="center" vertical="center"/>
    </xf>
    <xf numFmtId="0" fontId="16" fillId="0" borderId="0" xfId="0" applyFont="1" applyAlignment="1">
      <alignment horizontal="center"/>
    </xf>
    <xf numFmtId="0" fontId="18" fillId="8" borderId="21" xfId="0" applyFont="1" applyFill="1" applyBorder="1" applyAlignment="1">
      <alignment horizontal="center" vertical="center" wrapText="1"/>
    </xf>
    <xf numFmtId="3" fontId="20" fillId="8" borderId="21" xfId="4" applyNumberFormat="1" applyFont="1" applyFill="1" applyBorder="1" applyAlignment="1">
      <alignment horizontal="center" vertical="center" wrapText="1"/>
    </xf>
    <xf numFmtId="0" fontId="18" fillId="8" borderId="23" xfId="0" applyFont="1" applyFill="1" applyBorder="1" applyAlignment="1">
      <alignment horizontal="center" vertical="center" wrapText="1"/>
    </xf>
    <xf numFmtId="0" fontId="17" fillId="0" borderId="0" xfId="0" applyFont="1" applyAlignment="1">
      <alignment horizontal="center"/>
    </xf>
    <xf numFmtId="0" fontId="18" fillId="0" borderId="1" xfId="0" applyFont="1" applyBorder="1" applyAlignment="1">
      <alignment horizontal="left" vertical="center" wrapText="1"/>
    </xf>
    <xf numFmtId="3" fontId="9" fillId="3" borderId="1" xfId="2" applyNumberFormat="1" applyBorder="1" applyAlignment="1">
      <alignment horizontal="center" vertical="center" wrapText="1"/>
    </xf>
    <xf numFmtId="3" fontId="9" fillId="3" borderId="1" xfId="2" applyNumberFormat="1" applyBorder="1" applyAlignment="1">
      <alignment horizontal="center" vertical="center"/>
    </xf>
    <xf numFmtId="3" fontId="9" fillId="4" borderId="1" xfId="3" applyNumberFormat="1" applyBorder="1" applyAlignment="1">
      <alignment horizontal="center" vertical="center"/>
    </xf>
    <xf numFmtId="3" fontId="9" fillId="2" borderId="1" xfId="1" applyNumberFormat="1" applyBorder="1" applyAlignment="1">
      <alignment horizontal="center" vertical="center"/>
    </xf>
    <xf numFmtId="0" fontId="20" fillId="8" borderId="21" xfId="0" applyFont="1" applyFill="1" applyBorder="1" applyAlignment="1">
      <alignment horizontal="left" vertical="center" wrapText="1"/>
    </xf>
    <xf numFmtId="0" fontId="18" fillId="8" borderId="21" xfId="0" applyFont="1" applyFill="1" applyBorder="1" applyAlignment="1">
      <alignment horizontal="left" vertical="center" wrapText="1"/>
    </xf>
    <xf numFmtId="3" fontId="19" fillId="0" borderId="27" xfId="4" applyNumberFormat="1" applyFont="1" applyBorder="1" applyAlignment="1">
      <alignment horizontal="center" vertical="center" wrapText="1"/>
    </xf>
    <xf numFmtId="3" fontId="19" fillId="0" borderId="28" xfId="4" applyNumberFormat="1" applyFont="1" applyBorder="1" applyAlignment="1">
      <alignment horizontal="center" vertical="center" wrapText="1"/>
    </xf>
    <xf numFmtId="3" fontId="19" fillId="0" borderId="2" xfId="4" applyNumberFormat="1" applyFont="1" applyBorder="1" applyAlignment="1">
      <alignment horizontal="center" vertical="center" wrapText="1"/>
    </xf>
    <xf numFmtId="3" fontId="19" fillId="0" borderId="27" xfId="0" applyNumberFormat="1" applyFont="1" applyFill="1" applyBorder="1" applyAlignment="1">
      <alignment horizontal="center" vertical="center" wrapText="1"/>
    </xf>
    <xf numFmtId="0" fontId="19" fillId="0" borderId="27" xfId="0" applyFont="1" applyBorder="1" applyAlignment="1">
      <alignment horizontal="center" vertical="center" wrapText="1"/>
    </xf>
    <xf numFmtId="0" fontId="19" fillId="0" borderId="27" xfId="0" applyFont="1" applyFill="1" applyBorder="1" applyAlignment="1">
      <alignment horizontal="center" vertical="center" wrapText="1"/>
    </xf>
    <xf numFmtId="3" fontId="19" fillId="0" borderId="28" xfId="0" applyNumberFormat="1" applyFont="1" applyBorder="1" applyAlignment="1">
      <alignment horizontal="center" vertical="center" wrapText="1"/>
    </xf>
    <xf numFmtId="3" fontId="17" fillId="0" borderId="2" xfId="4" applyNumberFormat="1" applyFont="1" applyFill="1" applyBorder="1" applyAlignment="1">
      <alignment horizontal="center" vertical="center"/>
    </xf>
    <xf numFmtId="0" fontId="17" fillId="0" borderId="27" xfId="0" applyFont="1" applyBorder="1" applyAlignment="1">
      <alignment horizontal="center"/>
    </xf>
    <xf numFmtId="0" fontId="19" fillId="0" borderId="2" xfId="0" applyFont="1" applyFill="1" applyBorder="1" applyAlignment="1">
      <alignment horizontal="center" vertical="center" wrapText="1"/>
    </xf>
    <xf numFmtId="3" fontId="19" fillId="0" borderId="27" xfId="0" applyNumberFormat="1" applyFont="1" applyBorder="1" applyAlignment="1">
      <alignment horizontal="center" vertical="center" wrapText="1"/>
    </xf>
    <xf numFmtId="3" fontId="17" fillId="0" borderId="27" xfId="0" applyNumberFormat="1" applyFont="1" applyBorder="1" applyAlignment="1">
      <alignment horizontal="center" vertical="center"/>
    </xf>
    <xf numFmtId="3" fontId="17" fillId="0" borderId="28" xfId="0" applyNumberFormat="1" applyFont="1" applyBorder="1" applyAlignment="1">
      <alignment horizontal="center" vertical="center"/>
    </xf>
    <xf numFmtId="3" fontId="17" fillId="0" borderId="27" xfId="0" applyNumberFormat="1" applyFont="1" applyFill="1" applyBorder="1" applyAlignment="1">
      <alignment horizontal="center" vertical="center"/>
    </xf>
    <xf numFmtId="0" fontId="17" fillId="0" borderId="27" xfId="0" applyFont="1" applyFill="1" applyBorder="1" applyAlignment="1">
      <alignment horizontal="center"/>
    </xf>
    <xf numFmtId="3" fontId="17" fillId="0" borderId="2" xfId="0" applyNumberFormat="1" applyFont="1" applyBorder="1" applyAlignment="1">
      <alignment horizontal="center" vertical="center"/>
    </xf>
    <xf numFmtId="0" fontId="16" fillId="0" borderId="27" xfId="0" applyFont="1" applyBorder="1" applyAlignment="1">
      <alignment horizontal="center"/>
    </xf>
    <xf numFmtId="0" fontId="16" fillId="0" borderId="27" xfId="0" applyFont="1" applyFill="1" applyBorder="1" applyAlignment="1">
      <alignment horizontal="center"/>
    </xf>
    <xf numFmtId="3" fontId="16" fillId="0" borderId="27" xfId="0" applyNumberFormat="1" applyFont="1" applyFill="1" applyBorder="1" applyAlignment="1">
      <alignment horizontal="center" vertical="center"/>
    </xf>
    <xf numFmtId="3" fontId="16" fillId="0" borderId="28" xfId="0" applyNumberFormat="1" applyFont="1" applyBorder="1" applyAlignment="1">
      <alignment horizontal="center" vertical="center"/>
    </xf>
    <xf numFmtId="3" fontId="16" fillId="0" borderId="27" xfId="0" applyNumberFormat="1" applyFont="1" applyBorder="1" applyAlignment="1">
      <alignment horizontal="center" vertical="center"/>
    </xf>
    <xf numFmtId="0" fontId="17" fillId="0" borderId="27" xfId="0" applyFont="1" applyBorder="1" applyAlignment="1">
      <alignment horizontal="center" wrapText="1"/>
    </xf>
    <xf numFmtId="0" fontId="17" fillId="0" borderId="2" xfId="0" applyFont="1" applyBorder="1" applyAlignment="1">
      <alignment horizontal="center" wrapText="1"/>
    </xf>
    <xf numFmtId="3" fontId="17" fillId="0" borderId="2" xfId="4" applyNumberFormat="1" applyFont="1" applyBorder="1" applyAlignment="1">
      <alignment horizontal="center" vertical="center"/>
    </xf>
    <xf numFmtId="0" fontId="17" fillId="0" borderId="2" xfId="0" applyFont="1" applyBorder="1" applyAlignment="1">
      <alignment horizontal="center"/>
    </xf>
    <xf numFmtId="3" fontId="0" fillId="0" borderId="0" xfId="0" applyNumberFormat="1"/>
    <xf numFmtId="0" fontId="18" fillId="0" borderId="5"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0" fillId="9" borderId="38" xfId="0" applyFill="1" applyBorder="1" applyAlignment="1">
      <alignment vertical="center" wrapText="1"/>
    </xf>
    <xf numFmtId="0" fontId="27" fillId="9" borderId="38" xfId="0" applyFont="1" applyFill="1" applyBorder="1" applyAlignment="1">
      <alignment horizontal="center" vertical="center" wrapText="1"/>
    </xf>
    <xf numFmtId="0" fontId="23" fillId="10" borderId="39" xfId="0" applyFont="1" applyFill="1" applyBorder="1" applyAlignment="1">
      <alignment horizontal="center" vertical="center" wrapText="1"/>
    </xf>
    <xf numFmtId="3" fontId="23" fillId="10" borderId="39" xfId="0" applyNumberFormat="1" applyFont="1" applyFill="1" applyBorder="1" applyAlignment="1">
      <alignment horizontal="center" vertical="center" wrapText="1"/>
    </xf>
    <xf numFmtId="0" fontId="22" fillId="0" borderId="39" xfId="0" applyFont="1" applyBorder="1" applyAlignment="1">
      <alignment horizontal="center" vertical="center" wrapText="1"/>
    </xf>
    <xf numFmtId="3" fontId="22" fillId="0" borderId="39" xfId="0" applyNumberFormat="1" applyFont="1" applyBorder="1" applyAlignment="1">
      <alignment horizontal="center" vertical="center" wrapText="1"/>
    </xf>
    <xf numFmtId="0" fontId="25" fillId="10" borderId="39" xfId="0" applyFont="1" applyFill="1" applyBorder="1" applyAlignment="1">
      <alignment horizontal="center" vertical="center" wrapText="1"/>
    </xf>
    <xf numFmtId="3" fontId="24" fillId="10" borderId="39" xfId="0" applyNumberFormat="1" applyFont="1" applyFill="1" applyBorder="1" applyAlignment="1">
      <alignment horizontal="center" vertical="center" wrapText="1"/>
    </xf>
    <xf numFmtId="0" fontId="0" fillId="0" borderId="0" xfId="0" applyBorder="1"/>
    <xf numFmtId="3" fontId="0" fillId="0" borderId="0" xfId="0" applyNumberFormat="1" applyBorder="1"/>
    <xf numFmtId="3" fontId="21" fillId="0" borderId="0" xfId="0" applyNumberFormat="1" applyFont="1" applyBorder="1" applyAlignment="1">
      <alignment horizontal="center" vertical="center"/>
    </xf>
    <xf numFmtId="0" fontId="27" fillId="9" borderId="35" xfId="0" applyFont="1" applyFill="1" applyBorder="1" applyAlignment="1">
      <alignment horizontal="center" vertical="center" wrapText="1"/>
    </xf>
    <xf numFmtId="0" fontId="27" fillId="9" borderId="17" xfId="0" applyFont="1" applyFill="1" applyBorder="1" applyAlignment="1">
      <alignment horizontal="center" vertical="center" wrapText="1"/>
    </xf>
    <xf numFmtId="0" fontId="0" fillId="9" borderId="40" xfId="0" applyFill="1" applyBorder="1" applyAlignment="1">
      <alignment vertical="center" wrapText="1"/>
    </xf>
    <xf numFmtId="0" fontId="24" fillId="10" borderId="41" xfId="0" applyFont="1" applyFill="1" applyBorder="1" applyAlignment="1">
      <alignment horizontal="right" vertical="center" wrapText="1"/>
    </xf>
    <xf numFmtId="3" fontId="28" fillId="10" borderId="42" xfId="0" applyNumberFormat="1" applyFont="1" applyFill="1" applyBorder="1" applyAlignment="1">
      <alignment horizontal="center" vertical="center" wrapText="1"/>
    </xf>
    <xf numFmtId="0" fontId="25" fillId="0" borderId="43" xfId="0" applyFont="1" applyBorder="1" applyAlignment="1">
      <alignment horizontal="right" vertical="center" wrapText="1"/>
    </xf>
    <xf numFmtId="0" fontId="26" fillId="0" borderId="44" xfId="0" applyFont="1" applyBorder="1" applyAlignment="1">
      <alignment horizontal="right" vertical="center" wrapText="1"/>
    </xf>
    <xf numFmtId="0" fontId="6" fillId="0" borderId="1" xfId="0" applyFont="1" applyBorder="1" applyAlignment="1">
      <alignment horizontal="left" vertical="center" wrapText="1"/>
    </xf>
    <xf numFmtId="0" fontId="18" fillId="0" borderId="1" xfId="0" applyFont="1" applyFill="1" applyBorder="1" applyAlignment="1">
      <alignment horizontal="center" vertical="center" wrapText="1"/>
    </xf>
    <xf numFmtId="3" fontId="19" fillId="0" borderId="1" xfId="0" applyNumberFormat="1" applyFont="1" applyBorder="1" applyAlignment="1">
      <alignment horizontal="center" vertical="center" wrapText="1"/>
    </xf>
    <xf numFmtId="0" fontId="18" fillId="0" borderId="1" xfId="0" applyFont="1" applyFill="1" applyBorder="1" applyAlignment="1">
      <alignment horizontal="center" wrapText="1"/>
    </xf>
    <xf numFmtId="0" fontId="18" fillId="0" borderId="2" xfId="0" applyFont="1" applyFill="1" applyBorder="1" applyAlignment="1">
      <alignment horizontal="center" wrapText="1"/>
    </xf>
    <xf numFmtId="0" fontId="32" fillId="0" borderId="0" xfId="0" applyFont="1" applyFill="1" applyBorder="1" applyAlignment="1"/>
    <xf numFmtId="3" fontId="32" fillId="0" borderId="1" xfId="0" applyNumberFormat="1" applyFont="1" applyBorder="1" applyAlignment="1">
      <alignment horizontal="center" vertical="center"/>
    </xf>
    <xf numFmtId="3" fontId="14" fillId="0" borderId="24" xfId="0" applyNumberFormat="1" applyFont="1" applyBorder="1" applyAlignment="1">
      <alignment horizontal="center" vertical="center" wrapText="1"/>
    </xf>
    <xf numFmtId="3" fontId="14" fillId="0" borderId="30" xfId="0" applyNumberFormat="1" applyFont="1" applyBorder="1" applyAlignment="1">
      <alignment horizontal="center" vertical="center" wrapText="1"/>
    </xf>
    <xf numFmtId="0" fontId="14" fillId="0" borderId="18" xfId="0" applyFont="1" applyBorder="1" applyAlignment="1">
      <alignment horizontal="center" vertical="center" wrapText="1"/>
    </xf>
    <xf numFmtId="3" fontId="38" fillId="0" borderId="36" xfId="0" applyNumberFormat="1" applyFont="1" applyBorder="1" applyAlignment="1">
      <alignment horizontal="center" vertical="center" wrapText="1"/>
    </xf>
    <xf numFmtId="3" fontId="37" fillId="0" borderId="34" xfId="0" applyNumberFormat="1" applyFont="1" applyBorder="1" applyAlignment="1">
      <alignment horizontal="center" vertical="center" wrapText="1"/>
    </xf>
    <xf numFmtId="3" fontId="37" fillId="0" borderId="35" xfId="0" applyNumberFormat="1" applyFont="1" applyBorder="1" applyAlignment="1">
      <alignment horizontal="center" vertical="center" wrapText="1"/>
    </xf>
    <xf numFmtId="3" fontId="14" fillId="0" borderId="16" xfId="0" applyNumberFormat="1" applyFont="1" applyBorder="1" applyAlignment="1">
      <alignment horizontal="center" vertical="center" wrapText="1"/>
    </xf>
    <xf numFmtId="3" fontId="14" fillId="0" borderId="34" xfId="0" applyNumberFormat="1" applyFont="1" applyBorder="1" applyAlignment="1">
      <alignment horizontal="center" vertical="center" wrapText="1"/>
    </xf>
    <xf numFmtId="3" fontId="14" fillId="0" borderId="56" xfId="0" applyNumberFormat="1" applyFont="1" applyBorder="1" applyAlignment="1">
      <alignment horizontal="center" vertical="center" wrapText="1"/>
    </xf>
    <xf numFmtId="3" fontId="14" fillId="0" borderId="56" xfId="0" applyNumberFormat="1" applyFont="1" applyFill="1" applyBorder="1" applyAlignment="1">
      <alignment horizontal="center" vertical="center" wrapText="1"/>
    </xf>
    <xf numFmtId="0" fontId="14" fillId="0" borderId="36"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4" xfId="0" applyFont="1" applyFill="1" applyBorder="1" applyAlignment="1">
      <alignment horizontal="center" vertical="center" wrapText="1"/>
    </xf>
    <xf numFmtId="3" fontId="38" fillId="0" borderId="34" xfId="0" applyNumberFormat="1" applyFont="1" applyBorder="1" applyAlignment="1">
      <alignment horizontal="center" vertical="center" wrapText="1"/>
    </xf>
    <xf numFmtId="3" fontId="0" fillId="0" borderId="35" xfId="0" applyNumberFormat="1" applyBorder="1" applyAlignment="1">
      <alignment horizontal="center" vertical="center"/>
    </xf>
    <xf numFmtId="3" fontId="14" fillId="0" borderId="7" xfId="0" applyNumberFormat="1" applyFont="1" applyBorder="1" applyAlignment="1">
      <alignment horizontal="center" vertical="center" wrapText="1"/>
    </xf>
    <xf numFmtId="3" fontId="14" fillId="0" borderId="17" xfId="0" applyNumberFormat="1" applyFont="1" applyBorder="1" applyAlignment="1">
      <alignment horizontal="center" vertical="center" wrapText="1"/>
    </xf>
    <xf numFmtId="0" fontId="14" fillId="0" borderId="15" xfId="0" applyFont="1" applyFill="1" applyBorder="1" applyAlignment="1">
      <alignment horizontal="center" vertical="center" wrapText="1"/>
    </xf>
    <xf numFmtId="3" fontId="12" fillId="0" borderId="9" xfId="4" applyNumberFormat="1" applyFont="1" applyFill="1" applyBorder="1" applyAlignment="1">
      <alignment horizontal="center" vertical="center" wrapText="1"/>
    </xf>
    <xf numFmtId="3" fontId="12" fillId="0" borderId="26" xfId="4" applyNumberFormat="1" applyFont="1" applyFill="1" applyBorder="1" applyAlignment="1">
      <alignment horizontal="center" vertical="center" wrapText="1"/>
    </xf>
    <xf numFmtId="3" fontId="12" fillId="0" borderId="27" xfId="4" applyNumberFormat="1" applyFont="1" applyFill="1" applyBorder="1" applyAlignment="1">
      <alignment horizontal="center" vertical="center" wrapText="1"/>
    </xf>
    <xf numFmtId="3" fontId="14" fillId="0" borderId="28" xfId="4" applyNumberFormat="1" applyFont="1" applyFill="1" applyBorder="1" applyAlignment="1">
      <alignment horizontal="center" vertical="center" wrapText="1"/>
    </xf>
    <xf numFmtId="3" fontId="12" fillId="0" borderId="5" xfId="4" applyNumberFormat="1" applyFont="1" applyFill="1" applyBorder="1" applyAlignment="1">
      <alignment horizontal="center" vertical="center" wrapText="1"/>
    </xf>
    <xf numFmtId="3" fontId="14" fillId="0" borderId="14" xfId="4" applyNumberFormat="1" applyFont="1" applyFill="1" applyBorder="1" applyAlignment="1">
      <alignment horizontal="center" vertical="center" wrapText="1"/>
    </xf>
    <xf numFmtId="41" fontId="14" fillId="0" borderId="1" xfId="4"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Border="1" applyAlignment="1">
      <alignment horizontal="center" vertical="center" wrapText="1"/>
    </xf>
    <xf numFmtId="0" fontId="27" fillId="9" borderId="0" xfId="0" applyFont="1" applyFill="1" applyBorder="1" applyAlignment="1">
      <alignment horizontal="center" vertical="center" wrapText="1"/>
    </xf>
    <xf numFmtId="3" fontId="36" fillId="0" borderId="1" xfId="4" applyNumberFormat="1" applyFont="1" applyBorder="1" applyAlignment="1">
      <alignment horizontal="center" vertical="center"/>
    </xf>
    <xf numFmtId="3" fontId="16" fillId="0" borderId="0" xfId="0" applyNumberFormat="1" applyFont="1" applyFill="1"/>
    <xf numFmtId="3" fontId="12" fillId="0" borderId="8" xfId="0" applyNumberFormat="1" applyFont="1" applyFill="1" applyBorder="1" applyAlignment="1">
      <alignment horizontal="center" vertical="center" wrapText="1"/>
    </xf>
    <xf numFmtId="3" fontId="14" fillId="0" borderId="8" xfId="0" applyNumberFormat="1" applyFont="1" applyFill="1" applyBorder="1" applyAlignment="1">
      <alignment horizontal="center" vertical="center" wrapText="1"/>
    </xf>
    <xf numFmtId="0" fontId="27" fillId="9" borderId="34" xfId="0" applyFont="1" applyFill="1" applyBorder="1" applyAlignment="1">
      <alignment horizontal="center" vertical="center" wrapText="1"/>
    </xf>
    <xf numFmtId="0" fontId="27" fillId="9" borderId="0" xfId="0" applyFont="1" applyFill="1" applyBorder="1" applyAlignment="1">
      <alignment horizontal="center" vertical="center" wrapText="1"/>
    </xf>
    <xf numFmtId="0" fontId="27" fillId="9" borderId="38" xfId="0" applyFont="1" applyFill="1" applyBorder="1" applyAlignment="1">
      <alignment horizontal="center" vertical="center" wrapText="1"/>
    </xf>
    <xf numFmtId="41" fontId="14" fillId="0" borderId="1" xfId="0" applyNumberFormat="1" applyFont="1" applyFill="1" applyBorder="1" applyAlignment="1">
      <alignment horizontal="center" vertical="center" wrapText="1"/>
    </xf>
    <xf numFmtId="3" fontId="17" fillId="0" borderId="0" xfId="0" applyNumberFormat="1" applyFont="1" applyFill="1"/>
    <xf numFmtId="3" fontId="22" fillId="13" borderId="39" xfId="0" applyNumberFormat="1" applyFont="1" applyFill="1" applyBorder="1" applyAlignment="1">
      <alignment horizontal="center" vertical="center" wrapText="1"/>
    </xf>
    <xf numFmtId="3" fontId="14" fillId="0" borderId="15" xfId="4" applyNumberFormat="1" applyFont="1" applyFill="1" applyBorder="1" applyAlignment="1">
      <alignment horizontal="center" vertical="center" wrapText="1"/>
    </xf>
    <xf numFmtId="3" fontId="14" fillId="0" borderId="9" xfId="4" applyNumberFormat="1"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7" xfId="0" applyFont="1" applyBorder="1" applyAlignment="1">
      <alignment horizontal="center" vertical="center" wrapText="1"/>
    </xf>
    <xf numFmtId="0" fontId="19" fillId="0" borderId="1" xfId="0" applyFont="1" applyBorder="1" applyAlignment="1">
      <alignment horizontal="left" vertical="center" wrapText="1"/>
    </xf>
    <xf numFmtId="3" fontId="14" fillId="0" borderId="20" xfId="0" applyNumberFormat="1" applyFont="1" applyBorder="1" applyAlignment="1">
      <alignment horizontal="center" vertical="center" wrapText="1"/>
    </xf>
    <xf numFmtId="3" fontId="14" fillId="0" borderId="25" xfId="0" applyNumberFormat="1" applyFont="1" applyBorder="1" applyAlignment="1">
      <alignment horizontal="center" vertical="center" wrapText="1"/>
    </xf>
    <xf numFmtId="3" fontId="23" fillId="10" borderId="0" xfId="0" applyNumberFormat="1" applyFont="1" applyFill="1" applyBorder="1" applyAlignment="1">
      <alignment horizontal="center" vertical="center" wrapText="1"/>
    </xf>
    <xf numFmtId="3" fontId="22" fillId="0" borderId="58" xfId="0" applyNumberFormat="1" applyFont="1" applyBorder="1" applyAlignment="1">
      <alignment horizontal="center" vertical="center" wrapText="1"/>
    </xf>
    <xf numFmtId="3" fontId="22" fillId="13" borderId="58" xfId="0" applyNumberFormat="1" applyFont="1" applyFill="1" applyBorder="1" applyAlignment="1">
      <alignment horizontal="center" vertical="center" wrapText="1"/>
    </xf>
    <xf numFmtId="3" fontId="25" fillId="0" borderId="59" xfId="0" applyNumberFormat="1" applyFont="1" applyBorder="1" applyAlignment="1">
      <alignment horizontal="center" vertical="center" wrapText="1"/>
    </xf>
    <xf numFmtId="3" fontId="25" fillId="0" borderId="60" xfId="0" applyNumberFormat="1" applyFont="1" applyBorder="1" applyAlignment="1">
      <alignment horizontal="center" vertical="center" wrapText="1"/>
    </xf>
    <xf numFmtId="3" fontId="14" fillId="0" borderId="11" xfId="0" applyNumberFormat="1" applyFont="1" applyBorder="1" applyAlignment="1">
      <alignment horizontal="center" vertical="center" wrapText="1"/>
    </xf>
    <xf numFmtId="3" fontId="14" fillId="0" borderId="19" xfId="0" applyNumberFormat="1" applyFont="1" applyBorder="1" applyAlignment="1">
      <alignment horizontal="center" vertical="center" wrapText="1"/>
    </xf>
    <xf numFmtId="0" fontId="14" fillId="0" borderId="14" xfId="0" applyFont="1" applyFill="1" applyBorder="1" applyAlignment="1">
      <alignment horizontal="center" vertical="center" wrapText="1"/>
    </xf>
    <xf numFmtId="9" fontId="0" fillId="0" borderId="0" xfId="0" applyNumberFormat="1" applyAlignment="1">
      <alignment horizontal="center" vertical="center"/>
    </xf>
    <xf numFmtId="3" fontId="36" fillId="0" borderId="1" xfId="4" applyNumberFormat="1" applyFont="1" applyFill="1" applyBorder="1" applyAlignment="1">
      <alignment horizontal="center" vertical="center"/>
    </xf>
    <xf numFmtId="0" fontId="17" fillId="0" borderId="2" xfId="0" applyFont="1" applyFill="1" applyBorder="1"/>
    <xf numFmtId="165" fontId="20" fillId="8" borderId="21" xfId="4"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11" borderId="23" xfId="0" applyFont="1" applyFill="1" applyBorder="1" applyAlignment="1">
      <alignment horizontal="center" vertical="center" wrapText="1"/>
    </xf>
    <xf numFmtId="0" fontId="34" fillId="13" borderId="21" xfId="0" applyFont="1" applyFill="1" applyBorder="1" applyAlignment="1">
      <alignment vertical="center"/>
    </xf>
    <xf numFmtId="0" fontId="16" fillId="8" borderId="21" xfId="0" applyFont="1" applyFill="1" applyBorder="1" applyAlignment="1">
      <alignment horizontal="left" vertical="center" wrapText="1"/>
    </xf>
    <xf numFmtId="0" fontId="17"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7" fillId="0" borderId="1" xfId="0" applyFont="1" applyFill="1" applyBorder="1" applyAlignment="1">
      <alignment vertical="top" wrapText="1"/>
    </xf>
    <xf numFmtId="0" fontId="13" fillId="0" borderId="1" xfId="0" applyFont="1" applyFill="1" applyBorder="1" applyAlignment="1">
      <alignment horizontal="center" vertical="top" wrapText="1"/>
    </xf>
    <xf numFmtId="0" fontId="17" fillId="0" borderId="1" xfId="0" applyFont="1" applyBorder="1" applyAlignment="1">
      <alignment horizontal="center" vertical="top" wrapText="1"/>
    </xf>
    <xf numFmtId="0" fontId="17" fillId="0" borderId="9" xfId="0" applyFont="1" applyFill="1" applyBorder="1"/>
    <xf numFmtId="0" fontId="4" fillId="0" borderId="1" xfId="0" applyFont="1" applyBorder="1" applyAlignment="1">
      <alignment horizontal="left" vertical="center" wrapText="1"/>
    </xf>
    <xf numFmtId="0" fontId="17" fillId="13" borderId="1" xfId="0" applyFont="1" applyFill="1" applyBorder="1" applyAlignment="1">
      <alignment vertical="center" wrapText="1"/>
    </xf>
    <xf numFmtId="0" fontId="17" fillId="13" borderId="1" xfId="0" applyFont="1" applyFill="1" applyBorder="1" applyAlignment="1">
      <alignment vertical="top" wrapText="1"/>
    </xf>
    <xf numFmtId="0" fontId="17" fillId="0" borderId="1" xfId="0" applyFont="1" applyFill="1" applyBorder="1" applyAlignment="1">
      <alignment wrapText="1"/>
    </xf>
    <xf numFmtId="0" fontId="17" fillId="13" borderId="1" xfId="0" applyFont="1" applyFill="1" applyBorder="1" applyAlignment="1">
      <alignment wrapText="1"/>
    </xf>
    <xf numFmtId="0" fontId="17" fillId="0" borderId="1" xfId="0" applyFont="1" applyFill="1" applyBorder="1" applyAlignment="1">
      <alignment horizontal="center" vertical="top" wrapText="1"/>
    </xf>
    <xf numFmtId="0" fontId="17" fillId="0" borderId="1" xfId="0" applyFont="1" applyFill="1" applyBorder="1" applyAlignment="1">
      <alignment horizontal="center" wrapText="1"/>
    </xf>
    <xf numFmtId="0" fontId="16" fillId="0" borderId="1" xfId="0" applyFont="1" applyFill="1" applyBorder="1" applyAlignment="1">
      <alignment horizontal="center" wrapText="1"/>
    </xf>
    <xf numFmtId="0" fontId="16" fillId="0" borderId="1" xfId="0" applyFont="1" applyFill="1" applyBorder="1" applyAlignment="1">
      <alignment horizontal="center" vertical="center" wrapText="1"/>
    </xf>
    <xf numFmtId="0" fontId="13" fillId="0" borderId="1" xfId="0" applyFont="1" applyFill="1" applyBorder="1" applyAlignment="1">
      <alignment horizont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8" xfId="0" applyFont="1" applyBorder="1" applyAlignment="1">
      <alignment horizontal="center" vertical="center" wrapText="1"/>
    </xf>
    <xf numFmtId="3" fontId="18" fillId="0" borderId="2" xfId="0" applyNumberFormat="1" applyFont="1" applyFill="1" applyBorder="1" applyAlignment="1">
      <alignment horizontal="center" vertical="center" wrapText="1"/>
    </xf>
    <xf numFmtId="3" fontId="18" fillId="0" borderId="2" xfId="0"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0" fontId="19" fillId="0" borderId="27" xfId="0" applyFont="1" applyBorder="1" applyAlignment="1">
      <alignment horizontal="left" vertical="center" wrapText="1"/>
    </xf>
    <xf numFmtId="3" fontId="19" fillId="0" borderId="27" xfId="4" applyNumberFormat="1" applyFont="1" applyFill="1" applyBorder="1" applyAlignment="1">
      <alignment horizontal="center" vertical="center" wrapText="1"/>
    </xf>
    <xf numFmtId="41" fontId="19" fillId="0" borderId="14" xfId="4" applyNumberFormat="1" applyFont="1" applyBorder="1" applyAlignment="1">
      <alignment horizontal="center" vertical="center" wrapText="1"/>
    </xf>
    <xf numFmtId="0" fontId="17" fillId="0" borderId="2" xfId="0" applyFont="1" applyFill="1" applyBorder="1" applyAlignment="1">
      <alignment vertical="center" wrapText="1"/>
    </xf>
    <xf numFmtId="0" fontId="13"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9" fillId="0" borderId="2" xfId="0" applyFont="1" applyBorder="1" applyAlignment="1">
      <alignment horizontal="center" vertical="center" wrapText="1"/>
    </xf>
    <xf numFmtId="3" fontId="19" fillId="0" borderId="2" xfId="0" applyNumberFormat="1" applyFont="1" applyFill="1" applyBorder="1" applyAlignment="1">
      <alignment horizontal="center" vertical="center" wrapText="1"/>
    </xf>
    <xf numFmtId="3" fontId="19" fillId="0" borderId="2" xfId="4" applyNumberFormat="1" applyFont="1" applyFill="1" applyBorder="1" applyAlignment="1">
      <alignment horizontal="center" vertical="center" wrapText="1"/>
    </xf>
    <xf numFmtId="41" fontId="19" fillId="0" borderId="10" xfId="4" applyNumberFormat="1" applyFont="1" applyBorder="1" applyAlignment="1">
      <alignment horizontal="center" vertical="center" wrapText="1"/>
    </xf>
    <xf numFmtId="41" fontId="20" fillId="8" borderId="22" xfId="4" applyNumberFormat="1" applyFont="1" applyFill="1" applyBorder="1" applyAlignment="1">
      <alignment horizontal="center" vertical="center" wrapText="1"/>
    </xf>
    <xf numFmtId="0" fontId="17" fillId="0" borderId="2" xfId="0" applyFont="1" applyFill="1" applyBorder="1" applyAlignment="1">
      <alignment vertical="top" wrapText="1"/>
    </xf>
    <xf numFmtId="0" fontId="13" fillId="0" borderId="2" xfId="0" applyFont="1" applyFill="1" applyBorder="1" applyAlignment="1">
      <alignment horizontal="center" vertical="top" wrapText="1"/>
    </xf>
    <xf numFmtId="0" fontId="18" fillId="0" borderId="6" xfId="0" applyFont="1" applyFill="1" applyBorder="1" applyAlignment="1">
      <alignment horizontal="center" vertical="center" wrapText="1"/>
    </xf>
    <xf numFmtId="0" fontId="17" fillId="13" borderId="2" xfId="0" applyFont="1" applyFill="1" applyBorder="1" applyAlignment="1">
      <alignment vertical="top" wrapText="1"/>
    </xf>
    <xf numFmtId="3" fontId="18" fillId="0" borderId="3" xfId="0" applyNumberFormat="1" applyFont="1" applyFill="1" applyBorder="1" applyAlignment="1">
      <alignment horizontal="center" vertical="center" wrapText="1"/>
    </xf>
    <xf numFmtId="3" fontId="18" fillId="0" borderId="3" xfId="0" applyNumberFormat="1" applyFont="1" applyBorder="1" applyAlignment="1">
      <alignment horizontal="center" vertical="center" wrapText="1"/>
    </xf>
    <xf numFmtId="3" fontId="19" fillId="0" borderId="14" xfId="0" applyNumberFormat="1" applyFont="1" applyBorder="1" applyAlignment="1">
      <alignment horizontal="center" vertical="center" wrapText="1"/>
    </xf>
    <xf numFmtId="9" fontId="20" fillId="0" borderId="2" xfId="0" applyNumberFormat="1" applyFont="1" applyFill="1" applyBorder="1" applyAlignment="1">
      <alignment horizontal="center" vertical="center" wrapText="1"/>
    </xf>
    <xf numFmtId="0" fontId="16" fillId="0" borderId="26" xfId="0" applyFont="1" applyBorder="1" applyAlignment="1">
      <alignment horizontal="center" vertical="center"/>
    </xf>
    <xf numFmtId="0" fontId="16" fillId="0" borderId="6" xfId="0" applyFont="1" applyFill="1" applyBorder="1" applyAlignment="1">
      <alignment horizontal="center" vertical="center"/>
    </xf>
    <xf numFmtId="0" fontId="20" fillId="0" borderId="2" xfId="0" applyFont="1" applyFill="1" applyBorder="1" applyAlignment="1">
      <alignment horizontal="center" vertical="center" wrapText="1"/>
    </xf>
    <xf numFmtId="0" fontId="17" fillId="0" borderId="2" xfId="0" applyFont="1" applyFill="1" applyBorder="1" applyAlignment="1">
      <alignment horizontal="center" vertical="top" wrapText="1"/>
    </xf>
    <xf numFmtId="3" fontId="20" fillId="8" borderId="21" xfId="0" applyNumberFormat="1" applyFont="1" applyFill="1" applyBorder="1" applyAlignment="1">
      <alignment horizontal="center" vertical="center" wrapText="1"/>
    </xf>
    <xf numFmtId="41" fontId="20" fillId="8" borderId="22" xfId="0" applyNumberFormat="1" applyFont="1" applyFill="1" applyBorder="1" applyAlignment="1">
      <alignment horizontal="center" vertical="center" wrapText="1"/>
    </xf>
    <xf numFmtId="0" fontId="16" fillId="0" borderId="6" xfId="0" applyFont="1" applyBorder="1" applyAlignment="1">
      <alignment horizontal="center"/>
    </xf>
    <xf numFmtId="3" fontId="17" fillId="0" borderId="2" xfId="0" applyNumberFormat="1" applyFont="1" applyFill="1" applyBorder="1" applyAlignment="1">
      <alignment horizontal="center" vertical="center"/>
    </xf>
    <xf numFmtId="0" fontId="16" fillId="0" borderId="2" xfId="0" applyFont="1" applyFill="1" applyBorder="1" applyAlignment="1">
      <alignment horizontal="center" vertical="center" wrapText="1"/>
    </xf>
    <xf numFmtId="3" fontId="36" fillId="0" borderId="2" xfId="4" applyNumberFormat="1" applyFont="1" applyFill="1" applyBorder="1" applyAlignment="1">
      <alignment horizontal="center" vertical="center"/>
    </xf>
    <xf numFmtId="3" fontId="36" fillId="0" borderId="2" xfId="4" applyNumberFormat="1" applyFont="1" applyBorder="1" applyAlignment="1">
      <alignment horizontal="center" vertical="center"/>
    </xf>
    <xf numFmtId="0" fontId="17" fillId="0" borderId="2" xfId="0" applyFont="1" applyFill="1" applyBorder="1" applyAlignment="1">
      <alignment wrapText="1"/>
    </xf>
    <xf numFmtId="0" fontId="17" fillId="0" borderId="2" xfId="0" applyFont="1" applyFill="1" applyBorder="1" applyAlignment="1">
      <alignment horizontal="center" vertical="center"/>
    </xf>
    <xf numFmtId="0" fontId="16" fillId="0" borderId="6" xfId="0" applyFont="1" applyFill="1" applyBorder="1" applyAlignment="1">
      <alignment horizontal="center"/>
    </xf>
    <xf numFmtId="0" fontId="17" fillId="0" borderId="2" xfId="0" applyFont="1" applyFill="1" applyBorder="1" applyAlignment="1">
      <alignment horizontal="center" wrapText="1"/>
    </xf>
    <xf numFmtId="0" fontId="16" fillId="0" borderId="2" xfId="0" applyFont="1" applyFill="1" applyBorder="1" applyAlignment="1">
      <alignment horizontal="center" wrapText="1"/>
    </xf>
    <xf numFmtId="0" fontId="17" fillId="0" borderId="2" xfId="0" applyFont="1" applyBorder="1" applyAlignment="1">
      <alignment wrapText="1"/>
    </xf>
    <xf numFmtId="0" fontId="33" fillId="13" borderId="23" xfId="0" applyFont="1" applyFill="1" applyBorder="1" applyAlignment="1">
      <alignment horizontal="center"/>
    </xf>
    <xf numFmtId="0" fontId="15" fillId="13" borderId="21" xfId="0" applyFont="1" applyFill="1" applyBorder="1" applyAlignment="1"/>
    <xf numFmtId="0" fontId="15" fillId="13" borderId="21" xfId="0" applyFont="1" applyFill="1" applyBorder="1" applyAlignment="1">
      <alignment horizontal="center"/>
    </xf>
    <xf numFmtId="3" fontId="35" fillId="13" borderId="21" xfId="0" applyNumberFormat="1" applyFont="1" applyFill="1" applyBorder="1" applyAlignment="1">
      <alignment horizontal="center" vertical="center"/>
    </xf>
    <xf numFmtId="41" fontId="35" fillId="13" borderId="22" xfId="0" applyNumberFormat="1" applyFont="1" applyFill="1" applyBorder="1" applyAlignment="1">
      <alignment horizontal="center" vertical="center"/>
    </xf>
    <xf numFmtId="3" fontId="35" fillId="0" borderId="6" xfId="4" applyNumberFormat="1" applyFont="1" applyBorder="1" applyAlignment="1">
      <alignment horizontal="center" vertical="center"/>
    </xf>
    <xf numFmtId="3" fontId="35" fillId="0" borderId="2" xfId="4" applyNumberFormat="1" applyFont="1" applyBorder="1" applyAlignment="1">
      <alignment horizontal="center" vertical="center"/>
    </xf>
    <xf numFmtId="3" fontId="35" fillId="0" borderId="10" xfId="4" applyNumberFormat="1" applyFont="1" applyBorder="1" applyAlignment="1">
      <alignment horizontal="center" vertical="center"/>
    </xf>
    <xf numFmtId="3" fontId="35" fillId="0" borderId="2" xfId="0" applyNumberFormat="1" applyFont="1" applyBorder="1" applyAlignment="1">
      <alignment horizontal="center" vertical="center"/>
    </xf>
    <xf numFmtId="41" fontId="35" fillId="0" borderId="2" xfId="0" applyNumberFormat="1" applyFont="1" applyBorder="1" applyAlignment="1">
      <alignment horizontal="center" vertical="center"/>
    </xf>
    <xf numFmtId="3" fontId="14" fillId="12" borderId="18" xfId="0" applyNumberFormat="1" applyFont="1" applyFill="1" applyBorder="1" applyAlignment="1">
      <alignment horizontal="center" vertical="center" wrapText="1"/>
    </xf>
    <xf numFmtId="3" fontId="14" fillId="12" borderId="20" xfId="0" applyNumberFormat="1" applyFont="1" applyFill="1" applyBorder="1" applyAlignment="1">
      <alignment horizontal="center" vertical="center" wrapText="1"/>
    </xf>
    <xf numFmtId="3" fontId="14" fillId="12" borderId="56" xfId="0" applyNumberFormat="1" applyFont="1" applyFill="1" applyBorder="1" applyAlignment="1">
      <alignment horizontal="center" vertical="center" wrapText="1"/>
    </xf>
    <xf numFmtId="3" fontId="14" fillId="12" borderId="25" xfId="0" applyNumberFormat="1" applyFont="1" applyFill="1" applyBorder="1" applyAlignment="1">
      <alignment horizontal="center" vertical="center" wrapText="1"/>
    </xf>
    <xf numFmtId="0" fontId="44" fillId="0" borderId="5" xfId="0" applyFont="1" applyBorder="1" applyAlignment="1">
      <alignment wrapText="1"/>
    </xf>
    <xf numFmtId="3" fontId="33" fillId="0" borderId="14" xfId="4" applyNumberFormat="1" applyFont="1" applyBorder="1" applyAlignment="1">
      <alignment horizontal="center" vertical="center"/>
    </xf>
    <xf numFmtId="0" fontId="15" fillId="0" borderId="4" xfId="0" applyFont="1" applyFill="1" applyBorder="1" applyAlignment="1">
      <alignment wrapText="1"/>
    </xf>
    <xf numFmtId="0" fontId="15" fillId="0" borderId="3" xfId="0" applyFont="1" applyBorder="1"/>
    <xf numFmtId="0" fontId="15" fillId="0" borderId="32" xfId="0" applyFont="1" applyBorder="1"/>
    <xf numFmtId="3" fontId="35" fillId="0" borderId="57" xfId="4" applyNumberFormat="1" applyFont="1" applyBorder="1" applyAlignment="1">
      <alignment horizontal="center" vertical="center"/>
    </xf>
    <xf numFmtId="3" fontId="35" fillId="0" borderId="3" xfId="4" applyNumberFormat="1" applyFont="1" applyBorder="1" applyAlignment="1">
      <alignment horizontal="center" vertical="center"/>
    </xf>
    <xf numFmtId="41" fontId="35" fillId="0" borderId="3" xfId="4" applyNumberFormat="1" applyFont="1" applyBorder="1" applyAlignment="1">
      <alignment horizontal="center" vertical="center"/>
    </xf>
    <xf numFmtId="0" fontId="15" fillId="0" borderId="6" xfId="0" applyFont="1" applyFill="1" applyBorder="1" applyAlignment="1">
      <alignment wrapText="1"/>
    </xf>
    <xf numFmtId="0" fontId="15" fillId="0" borderId="2" xfId="0" applyFont="1" applyBorder="1"/>
    <xf numFmtId="41" fontId="35" fillId="0" borderId="2" xfId="0" applyNumberFormat="1" applyFont="1" applyFill="1" applyBorder="1" applyAlignment="1">
      <alignment horizontal="center" vertical="center"/>
    </xf>
    <xf numFmtId="0" fontId="44" fillId="0" borderId="5" xfId="0" applyFont="1" applyFill="1" applyBorder="1" applyAlignment="1">
      <alignment wrapText="1"/>
    </xf>
    <xf numFmtId="0" fontId="15" fillId="0" borderId="1" xfId="0" applyFont="1" applyBorder="1" applyAlignment="1">
      <alignment horizontal="center" vertical="center" wrapText="1"/>
    </xf>
    <xf numFmtId="3" fontId="35" fillId="0" borderId="10" xfId="0" applyNumberFormat="1" applyFont="1" applyFill="1" applyBorder="1" applyAlignment="1">
      <alignment horizontal="center" vertical="center"/>
    </xf>
    <xf numFmtId="0" fontId="44" fillId="0" borderId="1" xfId="0" applyFont="1" applyFill="1" applyBorder="1" applyAlignment="1">
      <alignment wrapText="1"/>
    </xf>
    <xf numFmtId="41" fontId="33" fillId="0" borderId="1" xfId="4" applyNumberFormat="1" applyFont="1" applyBorder="1" applyAlignment="1">
      <alignment horizontal="center" vertical="center"/>
    </xf>
    <xf numFmtId="3" fontId="33" fillId="0" borderId="1" xfId="4" applyNumberFormat="1" applyFont="1" applyBorder="1" applyAlignment="1">
      <alignment horizontal="center" vertical="center"/>
    </xf>
    <xf numFmtId="0" fontId="15" fillId="0" borderId="1" xfId="0" applyFont="1" applyFill="1" applyBorder="1" applyAlignment="1">
      <alignment wrapText="1"/>
    </xf>
    <xf numFmtId="0" fontId="15" fillId="0" borderId="1" xfId="0" applyFont="1" applyBorder="1"/>
    <xf numFmtId="3" fontId="35" fillId="0" borderId="1" xfId="0" applyNumberFormat="1" applyFont="1" applyBorder="1" applyAlignment="1">
      <alignment horizontal="center" vertical="center"/>
    </xf>
    <xf numFmtId="41" fontId="35" fillId="0" borderId="1" xfId="0" applyNumberFormat="1" applyFont="1" applyBorder="1" applyAlignment="1">
      <alignment horizontal="center" vertical="center"/>
    </xf>
    <xf numFmtId="0" fontId="15" fillId="0" borderId="1" xfId="0" applyFont="1" applyFill="1" applyBorder="1" applyAlignment="1">
      <alignment vertical="center" wrapText="1"/>
    </xf>
    <xf numFmtId="3" fontId="35" fillId="0" borderId="3" xfId="0" applyNumberFormat="1" applyFont="1" applyBorder="1" applyAlignment="1">
      <alignment horizontal="center" vertical="center"/>
    </xf>
    <xf numFmtId="41" fontId="35" fillId="0" borderId="3" xfId="0" applyNumberFormat="1" applyFont="1" applyBorder="1" applyAlignment="1">
      <alignment horizontal="center" vertical="center"/>
    </xf>
    <xf numFmtId="166" fontId="9" fillId="4" borderId="1" xfId="3" applyNumberFormat="1" applyBorder="1" applyAlignment="1">
      <alignment horizontal="center" vertical="center"/>
    </xf>
    <xf numFmtId="0" fontId="5" fillId="0" borderId="27" xfId="0" applyFont="1" applyBorder="1" applyAlignment="1">
      <alignment horizontal="left" vertical="center" wrapText="1"/>
    </xf>
    <xf numFmtId="0" fontId="19" fillId="0" borderId="27" xfId="0" applyFont="1" applyBorder="1" applyAlignment="1">
      <alignment horizontal="left" vertical="center" wrapText="1"/>
    </xf>
    <xf numFmtId="0" fontId="3" fillId="8" borderId="21" xfId="0" applyFont="1" applyFill="1" applyBorder="1" applyAlignment="1">
      <alignment horizontal="left" vertical="center" wrapText="1"/>
    </xf>
    <xf numFmtId="0" fontId="16" fillId="8" borderId="21" xfId="0" applyFont="1" applyFill="1" applyBorder="1" applyAlignment="1">
      <alignment horizontal="left" vertical="center" wrapText="1"/>
    </xf>
    <xf numFmtId="0" fontId="20" fillId="8" borderId="23" xfId="0" applyFont="1" applyFill="1" applyBorder="1" applyAlignment="1">
      <alignment horizontal="center" vertical="center" wrapText="1"/>
    </xf>
    <xf numFmtId="0" fontId="13" fillId="0" borderId="21" xfId="0" applyFont="1" applyBorder="1" applyAlignment="1">
      <alignment vertical="center" wrapText="1"/>
    </xf>
    <xf numFmtId="0" fontId="13" fillId="0" borderId="22" xfId="0" applyFont="1" applyBorder="1" applyAlignment="1">
      <alignment vertical="center" wrapText="1"/>
    </xf>
    <xf numFmtId="0" fontId="20" fillId="11" borderId="23" xfId="0" applyFont="1" applyFill="1" applyBorder="1" applyAlignment="1">
      <alignment horizontal="center" vertical="center" wrapText="1"/>
    </xf>
    <xf numFmtId="0" fontId="13" fillId="11" borderId="21" xfId="0" applyFont="1" applyFill="1" applyBorder="1" applyAlignment="1">
      <alignment vertical="center" wrapText="1"/>
    </xf>
    <xf numFmtId="0" fontId="13" fillId="11" borderId="22" xfId="0" applyFont="1" applyFill="1" applyBorder="1" applyAlignment="1">
      <alignment vertical="center" wrapText="1"/>
    </xf>
    <xf numFmtId="0" fontId="18" fillId="11" borderId="23" xfId="0" applyFont="1" applyFill="1" applyBorder="1" applyAlignment="1">
      <alignment horizontal="center" vertical="center" wrapText="1"/>
    </xf>
    <xf numFmtId="0" fontId="18" fillId="11" borderId="21" xfId="0" applyFont="1" applyFill="1" applyBorder="1" applyAlignment="1">
      <alignment horizontal="center" vertical="center" wrapText="1"/>
    </xf>
    <xf numFmtId="0" fontId="18" fillId="11" borderId="22" xfId="0" applyFont="1" applyFill="1" applyBorder="1" applyAlignment="1">
      <alignment horizontal="center" vertical="center" wrapText="1"/>
    </xf>
    <xf numFmtId="0" fontId="20" fillId="11" borderId="21" xfId="0" applyFont="1" applyFill="1" applyBorder="1" applyAlignment="1">
      <alignment horizontal="center" vertical="center" wrapText="1"/>
    </xf>
    <xf numFmtId="0" fontId="20" fillId="11" borderId="22" xfId="0" applyFont="1" applyFill="1" applyBorder="1" applyAlignment="1">
      <alignment horizontal="center" vertical="center" wrapText="1"/>
    </xf>
    <xf numFmtId="0" fontId="18" fillId="0" borderId="27" xfId="0" applyFont="1" applyFill="1" applyBorder="1" applyAlignment="1">
      <alignment horizontal="center" vertical="center" wrapText="1"/>
    </xf>
    <xf numFmtId="3" fontId="18"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xf>
    <xf numFmtId="3" fontId="18" fillId="0" borderId="8" xfId="0" applyNumberFormat="1" applyFont="1" applyBorder="1" applyAlignment="1">
      <alignment horizontal="center" vertical="center" wrapText="1"/>
    </xf>
    <xf numFmtId="0" fontId="18" fillId="0" borderId="8" xfId="0" applyFont="1" applyFill="1" applyBorder="1" applyAlignment="1">
      <alignment horizontal="center" vertical="center" wrapText="1"/>
    </xf>
    <xf numFmtId="0" fontId="18" fillId="0" borderId="2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7" xfId="0" applyFont="1" applyBorder="1" applyAlignment="1">
      <alignment horizontal="center" vertical="center" wrapText="1"/>
    </xf>
    <xf numFmtId="3" fontId="18" fillId="0" borderId="27" xfId="0" applyNumberFormat="1" applyFont="1" applyBorder="1" applyAlignment="1">
      <alignment horizontal="center" vertical="center" wrapText="1"/>
    </xf>
    <xf numFmtId="0" fontId="16" fillId="0" borderId="27"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1" xfId="0" applyFont="1" applyBorder="1" applyAlignment="1">
      <alignment horizontal="center" vertical="center" wrapText="1"/>
    </xf>
    <xf numFmtId="0" fontId="16" fillId="0" borderId="1" xfId="0" applyFont="1" applyBorder="1" applyAlignment="1">
      <alignment horizontal="center" vertical="center"/>
    </xf>
    <xf numFmtId="0" fontId="17" fillId="0" borderId="27" xfId="0" applyFont="1" applyBorder="1" applyAlignment="1">
      <alignment horizontal="center" vertical="center"/>
    </xf>
    <xf numFmtId="0" fontId="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8" fillId="12" borderId="1" xfId="0" applyFont="1" applyFill="1" applyBorder="1" applyAlignment="1">
      <alignment horizontal="center" vertical="center" wrapText="1"/>
    </xf>
    <xf numFmtId="0" fontId="18" fillId="12" borderId="2" xfId="0" applyFont="1" applyFill="1" applyBorder="1" applyAlignment="1">
      <alignment horizontal="center" vertical="center" wrapText="1"/>
    </xf>
    <xf numFmtId="0" fontId="18" fillId="0" borderId="2" xfId="0" applyFont="1" applyBorder="1" applyAlignment="1">
      <alignment horizontal="center" vertical="center" wrapText="1"/>
    </xf>
    <xf numFmtId="3" fontId="18" fillId="0" borderId="28" xfId="0" applyNumberFormat="1" applyFont="1" applyBorder="1" applyAlignment="1">
      <alignment horizontal="center" vertical="center" wrapText="1"/>
    </xf>
    <xf numFmtId="3" fontId="18" fillId="0" borderId="14"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18" fillId="12" borderId="3" xfId="0" applyFont="1" applyFill="1" applyBorder="1" applyAlignment="1">
      <alignment horizontal="center" vertical="center" wrapText="1"/>
    </xf>
    <xf numFmtId="0" fontId="17"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17" fillId="0" borderId="21" xfId="0" applyFont="1" applyBorder="1" applyAlignment="1"/>
    <xf numFmtId="0" fontId="17" fillId="0" borderId="22" xfId="0" applyFont="1" applyBorder="1" applyAlignment="1"/>
    <xf numFmtId="0" fontId="17" fillId="0" borderId="8" xfId="0" applyFont="1" applyBorder="1" applyAlignment="1">
      <alignment horizontal="center" vertical="center"/>
    </xf>
    <xf numFmtId="0" fontId="17" fillId="11" borderId="21" xfId="0" applyFont="1" applyFill="1" applyBorder="1" applyAlignment="1">
      <alignment vertical="center" wrapText="1"/>
    </xf>
    <xf numFmtId="0" fontId="17" fillId="11" borderId="22" xfId="0" applyFont="1" applyFill="1" applyBorder="1" applyAlignment="1">
      <alignment vertical="center" wrapText="1"/>
    </xf>
    <xf numFmtId="0" fontId="17" fillId="11" borderId="21" xfId="0" applyFont="1" applyFill="1" applyBorder="1" applyAlignment="1">
      <alignment horizontal="center" vertical="center" wrapText="1"/>
    </xf>
    <xf numFmtId="0" fontId="17" fillId="11" borderId="22" xfId="0" applyFont="1" applyFill="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3" fontId="14" fillId="12" borderId="36" xfId="0" applyNumberFormat="1" applyFont="1" applyFill="1" applyBorder="1" applyAlignment="1">
      <alignment horizontal="center" vertical="center" wrapText="1"/>
    </xf>
    <xf numFmtId="3" fontId="14" fillId="12" borderId="34" xfId="0" applyNumberFormat="1" applyFont="1" applyFill="1" applyBorder="1" applyAlignment="1">
      <alignment horizontal="center" vertical="center" wrapText="1"/>
    </xf>
    <xf numFmtId="3" fontId="14" fillId="12" borderId="35" xfId="0" applyNumberFormat="1" applyFont="1" applyFill="1" applyBorder="1" applyAlignment="1">
      <alignment horizontal="center" vertical="center" wrapText="1"/>
    </xf>
    <xf numFmtId="3" fontId="14" fillId="0" borderId="18" xfId="0" applyNumberFormat="1" applyFont="1" applyFill="1" applyBorder="1" applyAlignment="1">
      <alignment horizontal="center" vertical="center" wrapText="1"/>
    </xf>
    <xf numFmtId="3" fontId="14" fillId="0" borderId="16" xfId="0" applyNumberFormat="1" applyFont="1" applyFill="1" applyBorder="1" applyAlignment="1">
      <alignment horizontal="center" vertical="center" wrapText="1"/>
    </xf>
    <xf numFmtId="3" fontId="14" fillId="12" borderId="20" xfId="0" applyNumberFormat="1" applyFont="1" applyFill="1" applyBorder="1" applyAlignment="1">
      <alignment horizontal="center" vertical="center" wrapText="1"/>
    </xf>
    <xf numFmtId="3" fontId="14" fillId="12" borderId="24" xfId="0" applyNumberFormat="1" applyFont="1" applyFill="1" applyBorder="1" applyAlignment="1">
      <alignment horizontal="center" vertical="center" wrapText="1"/>
    </xf>
    <xf numFmtId="3" fontId="14" fillId="12" borderId="25" xfId="0" applyNumberFormat="1" applyFont="1" applyFill="1" applyBorder="1" applyAlignment="1">
      <alignment horizontal="center" vertical="center" wrapText="1"/>
    </xf>
    <xf numFmtId="0" fontId="39" fillId="0" borderId="20" xfId="0" applyFont="1" applyBorder="1" applyAlignment="1">
      <alignment vertical="center" wrapText="1"/>
    </xf>
    <xf numFmtId="0" fontId="45" fillId="0" borderId="24" xfId="0" applyFont="1" applyBorder="1" applyAlignment="1">
      <alignment vertical="center" wrapText="1"/>
    </xf>
    <xf numFmtId="0" fontId="45" fillId="0" borderId="25" xfId="0" applyFont="1" applyBorder="1" applyAlignment="1">
      <alignment vertical="center" wrapText="1"/>
    </xf>
    <xf numFmtId="0" fontId="14" fillId="12" borderId="56" xfId="0" applyFont="1" applyFill="1" applyBorder="1" applyAlignment="1">
      <alignment horizontal="center" vertical="center" wrapText="1"/>
    </xf>
    <xf numFmtId="3" fontId="14" fillId="0" borderId="20" xfId="0" applyNumberFormat="1" applyFont="1" applyBorder="1" applyAlignment="1">
      <alignment horizontal="center" vertical="center" wrapText="1"/>
    </xf>
    <xf numFmtId="3" fontId="14" fillId="0" borderId="24" xfId="0" applyNumberFormat="1" applyFont="1" applyBorder="1" applyAlignment="1">
      <alignment horizontal="center" vertical="center" wrapText="1"/>
    </xf>
    <xf numFmtId="3" fontId="14" fillId="0" borderId="30" xfId="0" applyNumberFormat="1" applyFont="1" applyBorder="1" applyAlignment="1">
      <alignment horizontal="center" vertical="center" wrapText="1"/>
    </xf>
    <xf numFmtId="3" fontId="14" fillId="0" borderId="33" xfId="0" applyNumberFormat="1" applyFont="1" applyBorder="1" applyAlignment="1">
      <alignment horizontal="center" vertical="center" wrapText="1"/>
    </xf>
    <xf numFmtId="3" fontId="14" fillId="0" borderId="25" xfId="0" applyNumberFormat="1" applyFont="1" applyBorder="1" applyAlignment="1">
      <alignment horizontal="center" vertical="center" wrapText="1"/>
    </xf>
    <xf numFmtId="3" fontId="15" fillId="0" borderId="24" xfId="0" applyNumberFormat="1" applyFont="1" applyBorder="1" applyAlignment="1">
      <alignment horizontal="center" vertical="center"/>
    </xf>
    <xf numFmtId="3" fontId="14" fillId="12" borderId="11" xfId="0" applyNumberFormat="1" applyFont="1" applyFill="1" applyBorder="1" applyAlignment="1">
      <alignment horizontal="center" vertical="center" wrapText="1"/>
    </xf>
    <xf numFmtId="3" fontId="14" fillId="12" borderId="19" xfId="0" applyNumberFormat="1" applyFont="1" applyFill="1" applyBorder="1" applyAlignment="1">
      <alignment horizontal="center" vertical="center" wrapText="1"/>
    </xf>
    <xf numFmtId="3" fontId="14" fillId="12" borderId="13" xfId="0" applyNumberFormat="1" applyFont="1" applyFill="1" applyBorder="1" applyAlignment="1">
      <alignment horizontal="center" vertical="center" wrapText="1"/>
    </xf>
    <xf numFmtId="0" fontId="14" fillId="0" borderId="56" xfId="0" applyFont="1" applyBorder="1" applyAlignment="1">
      <alignment horizontal="center" vertical="center" wrapText="1"/>
    </xf>
    <xf numFmtId="0" fontId="43" fillId="12" borderId="56" xfId="0" applyFont="1" applyFill="1" applyBorder="1" applyAlignment="1">
      <alignment horizontal="center" vertical="center" wrapText="1"/>
    </xf>
    <xf numFmtId="0" fontId="44" fillId="12" borderId="56" xfId="0" applyFont="1" applyFill="1" applyBorder="1" applyAlignment="1">
      <alignment horizontal="center" vertical="center" wrapText="1"/>
    </xf>
    <xf numFmtId="3" fontId="14" fillId="12" borderId="7" xfId="0" applyNumberFormat="1" applyFont="1" applyFill="1" applyBorder="1" applyAlignment="1">
      <alignment horizontal="center" vertical="center" wrapText="1"/>
    </xf>
    <xf numFmtId="3" fontId="14" fillId="12" borderId="0" xfId="0" applyNumberFormat="1" applyFont="1" applyFill="1" applyBorder="1" applyAlignment="1">
      <alignment horizontal="center" vertical="center" wrapText="1"/>
    </xf>
    <xf numFmtId="3" fontId="14" fillId="12" borderId="17" xfId="0" applyNumberFormat="1"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29" fillId="0" borderId="20" xfId="0" applyFont="1" applyBorder="1" applyAlignment="1">
      <alignment wrapText="1"/>
    </xf>
    <xf numFmtId="0" fontId="29" fillId="0" borderId="24" xfId="0" applyFont="1" applyBorder="1" applyAlignment="1">
      <alignment wrapText="1"/>
    </xf>
    <xf numFmtId="0" fontId="29" fillId="0" borderId="25" xfId="0" applyFont="1" applyBorder="1" applyAlignment="1">
      <alignment wrapText="1"/>
    </xf>
    <xf numFmtId="0" fontId="41" fillId="0" borderId="20"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14" fillId="0" borderId="20" xfId="0" applyFont="1" applyBorder="1" applyAlignment="1">
      <alignment horizontal="center" vertical="center" wrapText="1"/>
    </xf>
    <xf numFmtId="0" fontId="14" fillId="0" borderId="25" xfId="0" applyFont="1" applyBorder="1" applyAlignment="1">
      <alignment horizontal="center" vertical="center" wrapText="1"/>
    </xf>
    <xf numFmtId="0" fontId="41" fillId="0" borderId="20" xfId="0" applyFont="1" applyBorder="1" applyAlignment="1">
      <alignment horizontal="left" vertical="center" wrapText="1"/>
    </xf>
    <xf numFmtId="0" fontId="42" fillId="0" borderId="24" xfId="0" applyFont="1" applyBorder="1" applyAlignment="1">
      <alignment horizontal="left" vertical="center"/>
    </xf>
    <xf numFmtId="0" fontId="42" fillId="0" borderId="25" xfId="0" applyFont="1" applyBorder="1" applyAlignment="1">
      <alignment horizontal="left" vertical="center"/>
    </xf>
    <xf numFmtId="3" fontId="14" fillId="0" borderId="36" xfId="0" applyNumberFormat="1" applyFont="1" applyBorder="1" applyAlignment="1">
      <alignment horizontal="center" vertical="center" wrapText="1"/>
    </xf>
    <xf numFmtId="3" fontId="14" fillId="0" borderId="34" xfId="0" applyNumberFormat="1" applyFont="1" applyBorder="1" applyAlignment="1">
      <alignment horizontal="center" vertical="center" wrapText="1"/>
    </xf>
    <xf numFmtId="3" fontId="14" fillId="0" borderId="35"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39" fillId="0" borderId="37" xfId="0" applyFont="1" applyBorder="1" applyAlignment="1">
      <alignment vertical="center" wrapText="1"/>
    </xf>
    <xf numFmtId="0" fontId="45" fillId="0" borderId="54" xfId="0" applyFont="1" applyBorder="1" applyAlignment="1">
      <alignment vertical="center" wrapText="1"/>
    </xf>
    <xf numFmtId="0" fontId="45" fillId="0" borderId="29" xfId="0" applyFont="1" applyBorder="1" applyAlignment="1">
      <alignment vertical="center" wrapText="1"/>
    </xf>
    <xf numFmtId="0" fontId="35" fillId="7" borderId="15" xfId="0" applyFont="1" applyFill="1" applyBorder="1" applyAlignment="1">
      <alignment wrapText="1"/>
    </xf>
    <xf numFmtId="0" fontId="15" fillId="7" borderId="55" xfId="0" applyFont="1" applyFill="1" applyBorder="1" applyAlignment="1"/>
    <xf numFmtId="0" fontId="15" fillId="7" borderId="9" xfId="0" applyFont="1" applyFill="1" applyBorder="1" applyAlignment="1"/>
    <xf numFmtId="0" fontId="39" fillId="0" borderId="15" xfId="0" applyFont="1" applyFill="1" applyBorder="1" applyAlignment="1">
      <alignment vertical="center" wrapText="1"/>
    </xf>
    <xf numFmtId="0" fontId="39" fillId="0" borderId="55" xfId="0" applyFont="1" applyBorder="1" applyAlignment="1">
      <alignment vertical="center"/>
    </xf>
    <xf numFmtId="0" fontId="39" fillId="0" borderId="9" xfId="0" applyFont="1" applyBorder="1" applyAlignment="1">
      <alignment vertical="center"/>
    </xf>
    <xf numFmtId="0" fontId="14" fillId="12" borderId="12" xfId="0" applyFont="1" applyFill="1" applyBorder="1" applyAlignment="1">
      <alignment horizontal="center" vertical="center" wrapText="1"/>
    </xf>
    <xf numFmtId="3" fontId="14" fillId="0" borderId="11" xfId="0" applyNumberFormat="1" applyFont="1" applyBorder="1" applyAlignment="1">
      <alignment horizontal="center" vertical="center" wrapText="1"/>
    </xf>
    <xf numFmtId="3" fontId="14" fillId="0" borderId="19" xfId="0" applyNumberFormat="1" applyFont="1" applyBorder="1" applyAlignment="1">
      <alignment horizontal="center" vertical="center" wrapText="1"/>
    </xf>
    <xf numFmtId="3" fontId="14" fillId="0" borderId="31" xfId="0" applyNumberFormat="1" applyFont="1" applyBorder="1" applyAlignment="1">
      <alignment horizontal="center" vertical="center" wrapText="1"/>
    </xf>
    <xf numFmtId="0" fontId="40" fillId="10" borderId="47" xfId="0" applyFont="1" applyFill="1" applyBorder="1" applyAlignment="1">
      <alignment horizontal="left" vertical="center" wrapText="1"/>
    </xf>
    <xf numFmtId="0" fontId="40" fillId="10" borderId="41" xfId="0" applyFont="1" applyFill="1" applyBorder="1" applyAlignment="1">
      <alignment horizontal="left" vertical="center" wrapText="1"/>
    </xf>
    <xf numFmtId="3" fontId="28" fillId="10" borderId="45" xfId="0" applyNumberFormat="1" applyFont="1" applyFill="1" applyBorder="1" applyAlignment="1">
      <alignment horizontal="center" vertical="center" wrapText="1"/>
    </xf>
    <xf numFmtId="3" fontId="28" fillId="10" borderId="46" xfId="0" applyNumberFormat="1" applyFont="1" applyFill="1" applyBorder="1" applyAlignment="1">
      <alignment horizontal="center" vertical="center" wrapText="1"/>
    </xf>
    <xf numFmtId="0" fontId="40" fillId="10" borderId="47" xfId="0" applyFont="1" applyFill="1" applyBorder="1" applyAlignment="1">
      <alignment horizontal="justify" vertical="center" wrapText="1"/>
    </xf>
    <xf numFmtId="0" fontId="40" fillId="10" borderId="41" xfId="0" applyFont="1" applyFill="1" applyBorder="1" applyAlignment="1">
      <alignment horizontal="justify" vertical="center" wrapText="1"/>
    </xf>
    <xf numFmtId="0" fontId="25" fillId="0" borderId="50" xfId="0" applyFont="1" applyBorder="1" applyAlignment="1">
      <alignment horizontal="center" vertical="center" wrapText="1"/>
    </xf>
    <xf numFmtId="0" fontId="25" fillId="0" borderId="51" xfId="0" applyFont="1" applyBorder="1" applyAlignment="1">
      <alignment horizontal="center" vertical="center" wrapText="1"/>
    </xf>
    <xf numFmtId="3" fontId="25" fillId="0" borderId="50" xfId="0" applyNumberFormat="1" applyFont="1" applyBorder="1" applyAlignment="1">
      <alignment horizontal="center" vertical="center" wrapText="1"/>
    </xf>
    <xf numFmtId="3" fontId="25" fillId="0" borderId="51" xfId="0" applyNumberFormat="1" applyFont="1" applyBorder="1" applyAlignment="1">
      <alignment horizontal="center" vertical="center" wrapText="1"/>
    </xf>
    <xf numFmtId="3" fontId="31" fillId="0" borderId="52" xfId="0" applyNumberFormat="1" applyFont="1" applyBorder="1" applyAlignment="1">
      <alignment horizontal="center" vertical="center" wrapText="1"/>
    </xf>
    <xf numFmtId="3" fontId="31" fillId="0" borderId="53" xfId="0" applyNumberFormat="1" applyFont="1" applyBorder="1" applyAlignment="1">
      <alignment horizontal="center" vertical="center" wrapText="1"/>
    </xf>
    <xf numFmtId="0" fontId="30" fillId="0" borderId="0" xfId="0" applyFont="1" applyBorder="1" applyAlignment="1">
      <alignment horizontal="center" vertical="center"/>
    </xf>
    <xf numFmtId="0" fontId="27" fillId="9" borderId="36" xfId="0" applyFont="1" applyFill="1" applyBorder="1" applyAlignment="1">
      <alignment horizontal="justify" vertical="center" wrapText="1"/>
    </xf>
    <xf numFmtId="0" fontId="27" fillId="9" borderId="7" xfId="0" applyFont="1" applyFill="1" applyBorder="1" applyAlignment="1">
      <alignment horizontal="justify" vertical="center" wrapText="1"/>
    </xf>
    <xf numFmtId="0" fontId="27" fillId="9" borderId="48" xfId="0" applyFont="1" applyFill="1" applyBorder="1" applyAlignment="1">
      <alignment horizontal="justify" vertical="center" wrapText="1"/>
    </xf>
    <xf numFmtId="0" fontId="27" fillId="9" borderId="34" xfId="0" applyFont="1" applyFill="1" applyBorder="1" applyAlignment="1">
      <alignment horizontal="center" vertical="center" wrapText="1"/>
    </xf>
    <xf numFmtId="0" fontId="27" fillId="9" borderId="0" xfId="0" applyFont="1" applyFill="1" applyBorder="1" applyAlignment="1">
      <alignment horizontal="center" vertical="center" wrapText="1"/>
    </xf>
    <xf numFmtId="0" fontId="27" fillId="9" borderId="38" xfId="0" applyFont="1" applyFill="1" applyBorder="1" applyAlignment="1">
      <alignment horizontal="center" vertical="center" wrapText="1"/>
    </xf>
    <xf numFmtId="0" fontId="40" fillId="10" borderId="49" xfId="0" applyFont="1" applyFill="1" applyBorder="1" applyAlignment="1">
      <alignment horizontal="left" vertical="center" wrapText="1"/>
    </xf>
  </cellXfs>
  <cellStyles count="15">
    <cellStyle name="Accent2" xfId="1" builtinId="33"/>
    <cellStyle name="Accent5" xfId="2" builtinId="45"/>
    <cellStyle name="Accent6" xfId="3" builtinId="49"/>
    <cellStyle name="Comma" xfId="4" builtinId="3"/>
    <cellStyle name="Comma 3" xfId="5"/>
    <cellStyle name="Comma 5" xfId="6"/>
    <cellStyle name="Normal" xfId="0" builtinId="0"/>
    <cellStyle name="Normal 113" xfId="7"/>
    <cellStyle name="Normal 117" xfId="8"/>
    <cellStyle name="Normal 127" xfId="9"/>
    <cellStyle name="Normal 3" xfId="10"/>
    <cellStyle name="Normal 3 4" xfId="11"/>
    <cellStyle name="Normal 4 2" xfId="12"/>
    <cellStyle name="Normal 5 4" xfId="13"/>
    <cellStyle name="Percent" xfId="14"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alcChain" Target="calcChain.xml"/><Relationship Id="rId5" Type="http://schemas.openxmlformats.org/officeDocument/2006/relationships/chartsheet" Target="chartsheets/sheet2.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Arial Black" panose="020B0A04020102020204" pitchFamily="34" charset="0"/>
              </a:rPr>
              <a:t>NDARJA E SHPENZIMEVE</a:t>
            </a:r>
          </a:p>
        </c:rich>
      </c:tx>
      <c:spPr>
        <a:noFill/>
        <a:ln w="25400">
          <a:noFill/>
        </a:ln>
      </c:spPr>
    </c:title>
    <c:plotArea>
      <c:layout>
        <c:manualLayout>
          <c:layoutTarget val="inner"/>
          <c:xMode val="edge"/>
          <c:yMode val="edge"/>
          <c:x val="0.25440140845070419"/>
          <c:y val="0.18090452261306531"/>
          <c:w val="0.49031690140845297"/>
          <c:h val="0.69974874371859652"/>
        </c:manualLayout>
      </c:layout>
      <c:pieChart>
        <c:varyColors val="1"/>
        <c:ser>
          <c:idx val="0"/>
          <c:order val="0"/>
          <c:dPt>
            <c:idx val="0"/>
            <c:spPr>
              <a:solidFill>
                <a:schemeClr val="accent1"/>
              </a:solidFill>
              <a:ln w="19050">
                <a:solidFill>
                  <a:schemeClr val="lt1"/>
                </a:solidFill>
              </a:ln>
              <a:effectLst/>
            </c:spPr>
          </c:dPt>
          <c:dPt>
            <c:idx val="1"/>
            <c:spPr>
              <a:solidFill>
                <a:schemeClr val="accent2"/>
              </a:solidFill>
              <a:ln w="19050">
                <a:solidFill>
                  <a:schemeClr val="lt1"/>
                </a:solidFill>
              </a:ln>
              <a:effectLst/>
            </c:spPr>
          </c:dPt>
          <c:dPt>
            <c:idx val="2"/>
            <c:spPr>
              <a:solidFill>
                <a:schemeClr val="accent3"/>
              </a:solidFill>
              <a:ln w="19050">
                <a:solidFill>
                  <a:schemeClr val="lt1"/>
                </a:solidFill>
              </a:ln>
              <a:effectLst/>
            </c:spPr>
          </c:dPt>
          <c:dLbls>
            <c:dLbl>
              <c:idx val="0"/>
              <c:layout>
                <c:manualLayout>
                  <c:x val="-7.4328285607948352E-2"/>
                  <c:y val="0.10479443590511135"/>
                </c:manualLayout>
              </c:layout>
              <c:dLblPos val="bestFit"/>
              <c:showCatName val="1"/>
              <c:showPercent val="1"/>
            </c:dLbl>
            <c:dLbl>
              <c:idx val="1"/>
              <c:layout>
                <c:manualLayout>
                  <c:x val="-0.12595497253129101"/>
                  <c:y val="1.3292509083680787E-2"/>
                </c:manualLayout>
              </c:layout>
              <c:dLblPos val="bestFit"/>
              <c:showCatName val="1"/>
              <c:showPercent val="1"/>
            </c:dLbl>
            <c:dLbl>
              <c:idx val="2"/>
              <c:layout>
                <c:manualLayout>
                  <c:x val="5.5871582478620389E-2"/>
                  <c:y val="-0.22371812772096991"/>
                </c:manualLayout>
              </c:layout>
              <c:dLblPos val="bestFit"/>
              <c:showCatName val="1"/>
              <c:showPercent val="1"/>
            </c:dLbl>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CatName val="1"/>
            <c:showPercent val="1"/>
            <c:showLeaderLines val="1"/>
            <c:leaderLines>
              <c:spPr>
                <a:ln w="9525" cap="flat" cmpd="sng" algn="ctr">
                  <a:solidFill>
                    <a:schemeClr val="tx1">
                      <a:lumMod val="35000"/>
                      <a:lumOff val="65000"/>
                    </a:schemeClr>
                  </a:solidFill>
                  <a:round/>
                </a:ln>
                <a:effectLst/>
              </c:spPr>
            </c:leaderLines>
          </c:dLbls>
          <c:cat>
            <c:strRef>
              <c:f>'Totali_Qellimet politike'!$G$77:$G$80</c:f>
              <c:strCache>
                <c:ptCount val="4"/>
                <c:pt idx="0">
                  <c:v>MTBP 2021-2023</c:v>
                </c:pt>
                <c:pt idx="1">
                  <c:v>Financim i Huaj </c:v>
                </c:pt>
                <c:pt idx="2">
                  <c:v>Buxheti 2024-2025</c:v>
                </c:pt>
                <c:pt idx="3">
                  <c:v>Hendek financiar 2021-2025</c:v>
                </c:pt>
              </c:strCache>
            </c:strRef>
          </c:cat>
          <c:val>
            <c:numRef>
              <c:f>'Totali_Qellimet politike'!$H$77:$H$80</c:f>
              <c:numCache>
                <c:formatCode>#,##0</c:formatCode>
                <c:ptCount val="4"/>
                <c:pt idx="0">
                  <c:v>400837122</c:v>
                </c:pt>
                <c:pt idx="1">
                  <c:v>95868016</c:v>
                </c:pt>
                <c:pt idx="2">
                  <c:v>645166263</c:v>
                </c:pt>
                <c:pt idx="3">
                  <c:v>-326764911</c:v>
                </c:pt>
              </c:numCache>
            </c:numRef>
          </c:val>
        </c:ser>
        <c:firstSliceAng val="0"/>
      </c:pieChart>
      <c:spPr>
        <a:noFill/>
        <a:ln w="25400">
          <a:noFill/>
        </a:ln>
      </c:spPr>
    </c:plotArea>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0" i="0" u="none" strike="noStrike" baseline="0">
                <a:solidFill>
                  <a:srgbClr val="000000"/>
                </a:solidFill>
                <a:latin typeface="Calibri"/>
                <a:ea typeface="Calibri"/>
                <a:cs typeface="Calibri"/>
              </a:defRPr>
            </a:pPr>
            <a:r>
              <a:rPr lang="en-US" sz="1400" b="0" i="0" strike="noStrike">
                <a:solidFill>
                  <a:srgbClr val="333333"/>
                </a:solidFill>
                <a:latin typeface="Arial Black"/>
              </a:rPr>
              <a:t>NATYRA EKONOMIKE E KOSTOVE TË Planit te Veprimit</a:t>
            </a:r>
            <a:endParaRPr lang="en-US" sz="1400" b="0" i="0" strike="noStrike">
              <a:solidFill>
                <a:srgbClr val="333333"/>
              </a:solidFill>
              <a:latin typeface="Calibri"/>
              <a:cs typeface="Calibri"/>
            </a:endParaRPr>
          </a:p>
          <a:p>
            <a:pPr>
              <a:defRPr sz="1000" b="0" i="0" u="none" strike="noStrike" baseline="0">
                <a:solidFill>
                  <a:srgbClr val="000000"/>
                </a:solidFill>
                <a:latin typeface="Calibri"/>
                <a:ea typeface="Calibri"/>
                <a:cs typeface="Calibri"/>
              </a:defRPr>
            </a:pPr>
            <a:endParaRPr lang="en-US" sz="1400" b="0" i="0" strike="noStrike">
              <a:solidFill>
                <a:srgbClr val="333333"/>
              </a:solidFill>
              <a:latin typeface="Calibri"/>
              <a:cs typeface="Calibri"/>
            </a:endParaRPr>
          </a:p>
        </c:rich>
      </c:tx>
      <c:spPr>
        <a:noFill/>
        <a:ln w="25400">
          <a:noFill/>
        </a:ln>
      </c:spPr>
    </c:title>
    <c:view3D>
      <c:rotX val="30"/>
      <c:perspective val="0"/>
    </c:view3D>
    <c:plotArea>
      <c:layout>
        <c:manualLayout>
          <c:layoutTarget val="inner"/>
          <c:xMode val="edge"/>
          <c:yMode val="edge"/>
          <c:x val="9.1549295774648098E-2"/>
          <c:y val="0.18718592964824118"/>
          <c:w val="0.80897887323943962"/>
          <c:h val="0.72110552763819535"/>
        </c:manualLayout>
      </c:layout>
      <c:pie3DChart>
        <c:varyColors val="1"/>
        <c:ser>
          <c:idx val="0"/>
          <c:order val="0"/>
          <c:dPt>
            <c:idx val="0"/>
            <c:spPr>
              <a:solidFill>
                <a:schemeClr val="accent1"/>
              </a:solidFill>
              <a:ln w="25400">
                <a:solidFill>
                  <a:schemeClr val="lt1"/>
                </a:solidFill>
              </a:ln>
              <a:effectLst/>
              <a:sp3d contourW="25400">
                <a:contourClr>
                  <a:schemeClr val="lt1"/>
                </a:contourClr>
              </a:sp3d>
            </c:spPr>
          </c:dPt>
          <c:dPt>
            <c:idx val="1"/>
            <c:spPr>
              <a:solidFill>
                <a:schemeClr val="accent2"/>
              </a:solidFill>
              <a:ln w="25400">
                <a:solidFill>
                  <a:schemeClr val="lt1"/>
                </a:solidFill>
              </a:ln>
              <a:effectLst/>
              <a:sp3d contourW="25400">
                <a:contourClr>
                  <a:schemeClr val="lt1"/>
                </a:contourClr>
              </a:sp3d>
            </c:spPr>
          </c:dPt>
          <c:dLbls>
            <c:spPr>
              <a:noFill/>
              <a:ln w="25400">
                <a:noFill/>
              </a:ln>
            </c:spPr>
            <c:txPr>
              <a:bodyPr wrap="square" lIns="38100" tIns="19050" rIns="38100" bIns="19050" anchor="ctr">
                <a:spAutoFit/>
              </a:bodyPr>
              <a:lstStyle/>
              <a:p>
                <a:pPr>
                  <a:defRPr sz="1200" b="1"/>
                </a:pPr>
                <a:endParaRPr lang="en-US"/>
              </a:p>
            </c:txPr>
            <c:dLblPos val="ctr"/>
            <c:showCatName val="1"/>
            <c:showPercent val="1"/>
            <c:showLeaderLines val="1"/>
          </c:dLbls>
          <c:cat>
            <c:strRef>
              <c:f>'Totali_Qellimet politike'!$G$91:$G$92</c:f>
              <c:strCache>
                <c:ptCount val="2"/>
                <c:pt idx="0">
                  <c:v>Kosto Korente </c:v>
                </c:pt>
                <c:pt idx="1">
                  <c:v>Kosto kapitale</c:v>
                </c:pt>
              </c:strCache>
            </c:strRef>
          </c:cat>
          <c:val>
            <c:numRef>
              <c:f>'Totali_Qellimet politike'!$H$91:$H$92</c:f>
              <c:numCache>
                <c:formatCode>#,##0</c:formatCode>
                <c:ptCount val="2"/>
                <c:pt idx="0">
                  <c:v>1046252812</c:v>
                </c:pt>
                <c:pt idx="1">
                  <c:v>422383500</c:v>
                </c:pt>
              </c:numCache>
            </c:numRef>
          </c:val>
        </c:ser>
      </c:pie3DChart>
      <c:spPr>
        <a:noFill/>
        <a:ln w="25400">
          <a:noFill/>
        </a:ln>
      </c:spPr>
    </c:plotArea>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Arial Black" panose="020B0A04020102020204" pitchFamily="34" charset="0"/>
              </a:rPr>
              <a:t>Kosto të lidhura  me politikat</a:t>
            </a:r>
          </a:p>
        </c:rich>
      </c:tx>
      <c:spPr>
        <a:noFill/>
        <a:ln w="25400">
          <a:noFill/>
        </a:ln>
      </c:spPr>
    </c:title>
    <c:plotArea>
      <c:layout>
        <c:manualLayout>
          <c:layoutTarget val="inner"/>
          <c:xMode val="edge"/>
          <c:yMode val="edge"/>
          <c:x val="4.6654929577464602E-2"/>
          <c:y val="8.9195979899498012E-2"/>
          <c:w val="0.83626760563380365"/>
          <c:h val="0.88567839195979892"/>
        </c:manualLayout>
      </c:layout>
      <c:barChart>
        <c:barDir val="col"/>
        <c:grouping val="percentStacked"/>
        <c:ser>
          <c:idx val="0"/>
          <c:order val="0"/>
          <c:tx>
            <c:strRef>
              <c:f>'Totali_Qellimet politike'!$K$75</c:f>
              <c:strCache>
                <c:ptCount val="1"/>
                <c:pt idx="0">
                  <c:v>Kosto Korente</c:v>
                </c:pt>
              </c:strCache>
            </c:strRef>
          </c:tx>
          <c:spPr>
            <a:solidFill>
              <a:srgbClr val="5B9BD5"/>
            </a:solidFill>
            <a:ln w="25400">
              <a:noFill/>
            </a:ln>
          </c:spP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Val val="1"/>
          </c:dLbls>
          <c:cat>
            <c:strRef>
              <c:f>'Totali_Qellimet politike'!$J$76:$J$82</c:f>
              <c:strCache>
                <c:ptCount val="7"/>
                <c:pt idx="0">
                  <c:v>Qëllimi i Politikës I</c:v>
                </c:pt>
                <c:pt idx="1">
                  <c:v>Qëllimi i Politikës II</c:v>
                </c:pt>
                <c:pt idx="2">
                  <c:v>Qëllimi i Politikës III</c:v>
                </c:pt>
                <c:pt idx="3">
                  <c:v>Qëllimi i Politikës IV</c:v>
                </c:pt>
                <c:pt idx="4">
                  <c:v>Qëllimi i Politikës V</c:v>
                </c:pt>
                <c:pt idx="5">
                  <c:v>Qëllimi i Politikës VI</c:v>
                </c:pt>
                <c:pt idx="6">
                  <c:v>Qëllimi i Politikës VII</c:v>
                </c:pt>
              </c:strCache>
            </c:strRef>
          </c:cat>
          <c:val>
            <c:numRef>
              <c:f>'Totali_Qellimet politike'!$K$76:$K$82</c:f>
              <c:numCache>
                <c:formatCode>#,##0</c:formatCode>
                <c:ptCount val="7"/>
                <c:pt idx="0">
                  <c:v>162905304</c:v>
                </c:pt>
                <c:pt idx="1">
                  <c:v>90530367.599999994</c:v>
                </c:pt>
                <c:pt idx="2">
                  <c:v>135445952</c:v>
                </c:pt>
                <c:pt idx="3">
                  <c:v>218406474</c:v>
                </c:pt>
                <c:pt idx="4">
                  <c:v>119382486.40000001</c:v>
                </c:pt>
                <c:pt idx="5">
                  <c:v>189252088</c:v>
                </c:pt>
                <c:pt idx="6">
                  <c:v>83866868</c:v>
                </c:pt>
              </c:numCache>
            </c:numRef>
          </c:val>
        </c:ser>
        <c:ser>
          <c:idx val="1"/>
          <c:order val="1"/>
          <c:tx>
            <c:strRef>
              <c:f>'Totali_Qellimet politike'!$L$75</c:f>
              <c:strCache>
                <c:ptCount val="1"/>
                <c:pt idx="0">
                  <c:v>Kosto Kapitale</c:v>
                </c:pt>
              </c:strCache>
            </c:strRef>
          </c:tx>
          <c:spPr>
            <a:solidFill>
              <a:srgbClr val="ED7D31"/>
            </a:solidFill>
            <a:ln w="25400">
              <a:noFill/>
            </a:ln>
          </c:spP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Val val="1"/>
          </c:dLbls>
          <c:cat>
            <c:strRef>
              <c:f>'Totali_Qellimet politike'!$J$76:$J$82</c:f>
              <c:strCache>
                <c:ptCount val="7"/>
                <c:pt idx="0">
                  <c:v>Qëllimi i Politikës I</c:v>
                </c:pt>
                <c:pt idx="1">
                  <c:v>Qëllimi i Politikës II</c:v>
                </c:pt>
                <c:pt idx="2">
                  <c:v>Qëllimi i Politikës III</c:v>
                </c:pt>
                <c:pt idx="3">
                  <c:v>Qëllimi i Politikës IV</c:v>
                </c:pt>
                <c:pt idx="4">
                  <c:v>Qëllimi i Politikës V</c:v>
                </c:pt>
                <c:pt idx="5">
                  <c:v>Qëllimi i Politikës VI</c:v>
                </c:pt>
                <c:pt idx="6">
                  <c:v>Qëllimi i Politikës VII</c:v>
                </c:pt>
              </c:strCache>
            </c:strRef>
          </c:cat>
          <c:val>
            <c:numRef>
              <c:f>'Totali_Qellimet politike'!$L$76:$L$82</c:f>
              <c:numCache>
                <c:formatCode>#,##0</c:formatCode>
                <c:ptCount val="7"/>
                <c:pt idx="0">
                  <c:v>126488500</c:v>
                </c:pt>
                <c:pt idx="1">
                  <c:v>125695000</c:v>
                </c:pt>
                <c:pt idx="2">
                  <c:v>0</c:v>
                </c:pt>
                <c:pt idx="3">
                  <c:v>0</c:v>
                </c:pt>
                <c:pt idx="4">
                  <c:v>0</c:v>
                </c:pt>
                <c:pt idx="5">
                  <c:v>170200000</c:v>
                </c:pt>
                <c:pt idx="6">
                  <c:v>0</c:v>
                </c:pt>
              </c:numCache>
            </c:numRef>
          </c:val>
        </c:ser>
        <c:gapWidth val="55"/>
        <c:overlap val="100"/>
        <c:axId val="76782208"/>
        <c:axId val="76792192"/>
      </c:barChart>
      <c:catAx>
        <c:axId val="76782208"/>
        <c:scaling>
          <c:orientation val="minMax"/>
        </c:scaling>
        <c:axPos val="b"/>
        <c:numFmt formatCode="#,##0"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92192"/>
        <c:crosses val="autoZero"/>
        <c:auto val="1"/>
        <c:lblAlgn val="ctr"/>
        <c:lblOffset val="100"/>
      </c:catAx>
      <c:valAx>
        <c:axId val="76792192"/>
        <c:scaling>
          <c:orientation val="minMax"/>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82208"/>
        <c:crosses val="autoZero"/>
        <c:crossBetween val="between"/>
      </c:valAx>
      <c:spPr>
        <a:noFill/>
        <a:ln w="25400">
          <a:noFill/>
        </a:ln>
      </c:spPr>
    </c:plotArea>
    <c:legend>
      <c:legendPos val="r"/>
      <c:layout>
        <c:manualLayout>
          <c:xMode val="edge"/>
          <c:yMode val="edge"/>
          <c:x val="0.89524647887323927"/>
          <c:y val="0.49748743718593114"/>
          <c:w val="9.9471830985915513E-2"/>
          <c:h val="7.0351758793969849E-2"/>
        </c:manualLayout>
      </c:layout>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tabColor theme="9" tint="-0.249977111117893"/>
  </sheetPr>
  <sheetViews>
    <sheetView zoomScale="121"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theme="9" tint="-0.249977111117893"/>
  </sheetPr>
  <sheetViews>
    <sheetView zoomScale="75"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9" tint="-0.249977111117893"/>
  </sheetPr>
  <sheetViews>
    <sheetView zoomScale="121"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1435835" y="1253206"/>
    <xdr:ext cx="6297520" cy="48123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1828800" y="487680"/>
    <xdr:ext cx="5720080" cy="46228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862761" y="188926"/>
    <xdr:ext cx="6889488" cy="55544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Formati%20IV_Modeli%20i%20Kostimit%20Financiar_Metodologjia%20e%20%20Kostimit_IPSIS_PAK_final_01%2003%2020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Standard_Cost"/>
      <sheetName val="Incremental_Cost Year 2"/>
      <sheetName val="Incremental_Cost Year 3"/>
      <sheetName val="Incremental_Cost Year 4"/>
      <sheetName val="Incremental_Cost Year 5"/>
      <sheetName val="Summary for IPSIS"/>
      <sheetName val="Incremental_Cost Year 11"/>
      <sheetName val="Sheet1"/>
    </sheetNames>
    <sheetDataSet>
      <sheetData sheetId="0"/>
      <sheetData sheetId="1"/>
      <sheetData sheetId="2"/>
      <sheetData sheetId="3"/>
      <sheetData sheetId="4"/>
      <sheetData sheetId="5">
        <row r="8">
          <cell r="H8">
            <v>994000</v>
          </cell>
          <cell r="I8">
            <v>0</v>
          </cell>
          <cell r="J8">
            <v>0</v>
          </cell>
          <cell r="T8">
            <v>90440</v>
          </cell>
          <cell r="U8">
            <v>0</v>
          </cell>
          <cell r="V8">
            <v>0</v>
          </cell>
          <cell r="AF8">
            <v>90440</v>
          </cell>
          <cell r="AG8">
            <v>0</v>
          </cell>
          <cell r="AH8">
            <v>0</v>
          </cell>
          <cell r="AR8">
            <v>90440</v>
          </cell>
          <cell r="AS8">
            <v>0</v>
          </cell>
          <cell r="AT8">
            <v>0</v>
          </cell>
          <cell r="BD8">
            <v>90440</v>
          </cell>
          <cell r="BE8">
            <v>0</v>
          </cell>
          <cell r="BF8">
            <v>0</v>
          </cell>
        </row>
        <row r="9">
          <cell r="H9">
            <v>0</v>
          </cell>
          <cell r="I9">
            <v>456000</v>
          </cell>
          <cell r="J9">
            <v>0</v>
          </cell>
          <cell r="T9">
            <v>11402496</v>
          </cell>
          <cell r="U9">
            <v>456000</v>
          </cell>
          <cell r="V9">
            <v>0</v>
          </cell>
          <cell r="AF9">
            <v>11402496</v>
          </cell>
          <cell r="AG9">
            <v>0</v>
          </cell>
          <cell r="AH9">
            <v>0</v>
          </cell>
          <cell r="AR9">
            <v>11402496</v>
          </cell>
          <cell r="AS9">
            <v>0</v>
          </cell>
          <cell r="AT9">
            <v>0</v>
          </cell>
          <cell r="BD9">
            <v>11402496</v>
          </cell>
          <cell r="BE9">
            <v>0</v>
          </cell>
          <cell r="BF9">
            <v>0</v>
          </cell>
        </row>
        <row r="10">
          <cell r="H10">
            <v>180880</v>
          </cell>
          <cell r="I10">
            <v>24000</v>
          </cell>
          <cell r="J10">
            <v>0</v>
          </cell>
          <cell r="T10">
            <v>90440</v>
          </cell>
          <cell r="U10">
            <v>12000</v>
          </cell>
          <cell r="V10">
            <v>0</v>
          </cell>
          <cell r="AF10">
            <v>90440</v>
          </cell>
          <cell r="AG10">
            <v>12000</v>
          </cell>
          <cell r="AH10">
            <v>0</v>
          </cell>
          <cell r="AR10">
            <v>90440</v>
          </cell>
          <cell r="AS10">
            <v>12000</v>
          </cell>
          <cell r="AT10">
            <v>0</v>
          </cell>
          <cell r="BD10">
            <v>90440</v>
          </cell>
          <cell r="BE10">
            <v>12000</v>
          </cell>
          <cell r="BF10">
            <v>0</v>
          </cell>
        </row>
        <row r="11">
          <cell r="H11">
            <v>271040</v>
          </cell>
          <cell r="I11">
            <v>21600</v>
          </cell>
          <cell r="J11">
            <v>0</v>
          </cell>
          <cell r="T11">
            <v>271040</v>
          </cell>
          <cell r="U11">
            <v>21600</v>
          </cell>
          <cell r="V11">
            <v>0</v>
          </cell>
          <cell r="AF11">
            <v>722624</v>
          </cell>
          <cell r="AG11">
            <v>64800</v>
          </cell>
          <cell r="AH11">
            <v>0</v>
          </cell>
          <cell r="AR11">
            <v>722624</v>
          </cell>
          <cell r="AS11">
            <v>64800</v>
          </cell>
          <cell r="AT11">
            <v>0</v>
          </cell>
          <cell r="BD11">
            <v>0</v>
          </cell>
          <cell r="BE11">
            <v>0</v>
          </cell>
          <cell r="BF11">
            <v>0</v>
          </cell>
        </row>
        <row r="12">
          <cell r="H12">
            <v>0</v>
          </cell>
          <cell r="I12">
            <v>0</v>
          </cell>
          <cell r="J12">
            <v>0</v>
          </cell>
          <cell r="T12">
            <v>0</v>
          </cell>
          <cell r="U12">
            <v>1479600</v>
          </cell>
          <cell r="V12">
            <v>0</v>
          </cell>
          <cell r="AF12">
            <v>0</v>
          </cell>
          <cell r="AG12">
            <v>0</v>
          </cell>
          <cell r="AH12">
            <v>0</v>
          </cell>
          <cell r="AR12">
            <v>0</v>
          </cell>
          <cell r="AS12">
            <v>519600</v>
          </cell>
          <cell r="AT12">
            <v>0</v>
          </cell>
          <cell r="BD12">
            <v>0</v>
          </cell>
          <cell r="BE12">
            <v>960000</v>
          </cell>
          <cell r="BF12">
            <v>0</v>
          </cell>
        </row>
        <row r="13">
          <cell r="H13">
            <v>90440</v>
          </cell>
          <cell r="I13">
            <v>684000</v>
          </cell>
          <cell r="J13">
            <v>0</v>
          </cell>
          <cell r="T13">
            <v>90440</v>
          </cell>
          <cell r="U13">
            <v>433000</v>
          </cell>
          <cell r="V13">
            <v>0</v>
          </cell>
          <cell r="AF13">
            <v>0</v>
          </cell>
          <cell r="AG13">
            <v>0</v>
          </cell>
          <cell r="AH13">
            <v>0</v>
          </cell>
          <cell r="AR13">
            <v>0</v>
          </cell>
          <cell r="AS13">
            <v>0</v>
          </cell>
          <cell r="AT13">
            <v>0</v>
          </cell>
          <cell r="BD13">
            <v>0</v>
          </cell>
          <cell r="BE13">
            <v>0</v>
          </cell>
          <cell r="BF13">
            <v>0</v>
          </cell>
        </row>
        <row r="14">
          <cell r="H14">
            <v>0</v>
          </cell>
          <cell r="I14">
            <v>0</v>
          </cell>
          <cell r="J14">
            <v>0</v>
          </cell>
          <cell r="T14">
            <v>1219680</v>
          </cell>
          <cell r="U14">
            <v>24000</v>
          </cell>
          <cell r="V14">
            <v>0</v>
          </cell>
          <cell r="AF14">
            <v>1219680</v>
          </cell>
          <cell r="AG14">
            <v>24000</v>
          </cell>
          <cell r="AH14">
            <v>0</v>
          </cell>
          <cell r="AR14">
            <v>1219680</v>
          </cell>
          <cell r="AS14">
            <v>24000</v>
          </cell>
          <cell r="AT14">
            <v>0</v>
          </cell>
          <cell r="BD14">
            <v>1219680</v>
          </cell>
          <cell r="BE14">
            <v>24000</v>
          </cell>
          <cell r="BF14">
            <v>0</v>
          </cell>
        </row>
        <row r="15">
          <cell r="H15">
            <v>0</v>
          </cell>
          <cell r="I15">
            <v>84000</v>
          </cell>
          <cell r="J15">
            <v>0</v>
          </cell>
          <cell r="T15">
            <v>0</v>
          </cell>
          <cell r="U15">
            <v>840000</v>
          </cell>
          <cell r="V15">
            <v>0</v>
          </cell>
          <cell r="AF15">
            <v>0</v>
          </cell>
          <cell r="AG15">
            <v>840000</v>
          </cell>
          <cell r="AH15">
            <v>0</v>
          </cell>
          <cell r="AR15">
            <v>0</v>
          </cell>
          <cell r="AS15">
            <v>840000</v>
          </cell>
          <cell r="AT15">
            <v>0</v>
          </cell>
          <cell r="BD15">
            <v>0</v>
          </cell>
          <cell r="BE15">
            <v>840000</v>
          </cell>
          <cell r="BF15">
            <v>0</v>
          </cell>
        </row>
        <row r="16">
          <cell r="H16">
            <v>950208</v>
          </cell>
          <cell r="I16">
            <v>0</v>
          </cell>
          <cell r="J16">
            <v>0</v>
          </cell>
          <cell r="T16">
            <v>950208</v>
          </cell>
          <cell r="U16">
            <v>0</v>
          </cell>
          <cell r="V16">
            <v>0</v>
          </cell>
          <cell r="AF16">
            <v>950208</v>
          </cell>
          <cell r="AG16">
            <v>0</v>
          </cell>
          <cell r="AH16">
            <v>0</v>
          </cell>
          <cell r="AR16">
            <v>950208</v>
          </cell>
          <cell r="AS16">
            <v>0</v>
          </cell>
          <cell r="AT16">
            <v>0</v>
          </cell>
          <cell r="BD16">
            <v>950208</v>
          </cell>
          <cell r="BE16">
            <v>0</v>
          </cell>
          <cell r="BF16">
            <v>0</v>
          </cell>
        </row>
        <row r="17">
          <cell r="H17">
            <v>0</v>
          </cell>
          <cell r="I17">
            <v>0</v>
          </cell>
          <cell r="J17">
            <v>0</v>
          </cell>
          <cell r="T17">
            <v>0</v>
          </cell>
          <cell r="U17">
            <v>960000</v>
          </cell>
          <cell r="V17">
            <v>0</v>
          </cell>
          <cell r="AF17">
            <v>0</v>
          </cell>
          <cell r="AG17">
            <v>960000</v>
          </cell>
          <cell r="AH17">
            <v>0</v>
          </cell>
          <cell r="AR17">
            <v>0</v>
          </cell>
          <cell r="AS17">
            <v>960000</v>
          </cell>
          <cell r="AT17">
            <v>0</v>
          </cell>
          <cell r="BD17">
            <v>0</v>
          </cell>
          <cell r="BE17">
            <v>960000</v>
          </cell>
          <cell r="BF17">
            <v>0</v>
          </cell>
        </row>
        <row r="18">
          <cell r="H18">
            <v>90440</v>
          </cell>
          <cell r="I18">
            <v>12000</v>
          </cell>
          <cell r="J18">
            <v>0</v>
          </cell>
          <cell r="T18">
            <v>90440</v>
          </cell>
          <cell r="U18">
            <v>12000</v>
          </cell>
          <cell r="V18">
            <v>0</v>
          </cell>
          <cell r="AF18">
            <v>90440</v>
          </cell>
          <cell r="AG18">
            <v>12000</v>
          </cell>
          <cell r="AH18">
            <v>0</v>
          </cell>
          <cell r="AR18">
            <v>90440</v>
          </cell>
          <cell r="AS18">
            <v>12000</v>
          </cell>
          <cell r="AT18">
            <v>0</v>
          </cell>
          <cell r="BD18">
            <v>90440</v>
          </cell>
          <cell r="BE18">
            <v>12000</v>
          </cell>
          <cell r="BF18">
            <v>0</v>
          </cell>
        </row>
        <row r="19">
          <cell r="H19">
            <v>0</v>
          </cell>
          <cell r="I19">
            <v>0</v>
          </cell>
          <cell r="J19">
            <v>0</v>
          </cell>
          <cell r="T19">
            <v>0</v>
          </cell>
          <cell r="U19">
            <v>0</v>
          </cell>
          <cell r="V19">
            <v>0</v>
          </cell>
          <cell r="AF19">
            <v>0</v>
          </cell>
          <cell r="AG19">
            <v>0</v>
          </cell>
          <cell r="AH19">
            <v>0</v>
          </cell>
          <cell r="AR19">
            <v>0</v>
          </cell>
          <cell r="AS19">
            <v>0</v>
          </cell>
          <cell r="AT19">
            <v>0</v>
          </cell>
          <cell r="BD19">
            <v>0</v>
          </cell>
          <cell r="BE19">
            <v>3600000</v>
          </cell>
          <cell r="BF19">
            <v>0</v>
          </cell>
        </row>
        <row r="21">
          <cell r="H21">
            <v>271040</v>
          </cell>
          <cell r="I21">
            <v>0</v>
          </cell>
          <cell r="J21">
            <v>0</v>
          </cell>
          <cell r="T21">
            <v>271040</v>
          </cell>
          <cell r="U21">
            <v>0</v>
          </cell>
          <cell r="V21">
            <v>0</v>
          </cell>
          <cell r="AF21">
            <v>0</v>
          </cell>
          <cell r="AG21">
            <v>165600</v>
          </cell>
          <cell r="AH21">
            <v>0</v>
          </cell>
          <cell r="AR21">
            <v>542080</v>
          </cell>
          <cell r="AS21">
            <v>0</v>
          </cell>
          <cell r="AT21">
            <v>0</v>
          </cell>
          <cell r="BD21">
            <v>0</v>
          </cell>
          <cell r="BE21">
            <v>0</v>
          </cell>
          <cell r="BF21">
            <v>0</v>
          </cell>
        </row>
        <row r="22">
          <cell r="H22">
            <v>271040</v>
          </cell>
          <cell r="I22">
            <v>0</v>
          </cell>
          <cell r="J22">
            <v>0</v>
          </cell>
          <cell r="T22">
            <v>271040</v>
          </cell>
          <cell r="U22">
            <v>0</v>
          </cell>
          <cell r="V22">
            <v>0</v>
          </cell>
          <cell r="AF22">
            <v>271040</v>
          </cell>
          <cell r="AG22">
            <v>0</v>
          </cell>
          <cell r="AH22">
            <v>0</v>
          </cell>
          <cell r="AR22">
            <v>271040</v>
          </cell>
          <cell r="AS22">
            <v>0</v>
          </cell>
          <cell r="AT22">
            <v>0</v>
          </cell>
          <cell r="BD22">
            <v>271040</v>
          </cell>
          <cell r="BE22">
            <v>0</v>
          </cell>
          <cell r="BF22">
            <v>0</v>
          </cell>
        </row>
        <row r="23">
          <cell r="H23">
            <v>135520</v>
          </cell>
          <cell r="I23">
            <v>1200</v>
          </cell>
          <cell r="J23">
            <v>0</v>
          </cell>
          <cell r="T23">
            <v>135520</v>
          </cell>
          <cell r="U23">
            <v>12000</v>
          </cell>
          <cell r="V23">
            <v>0</v>
          </cell>
          <cell r="AF23">
            <v>135520</v>
          </cell>
          <cell r="AG23">
            <v>12000</v>
          </cell>
          <cell r="AH23">
            <v>0</v>
          </cell>
          <cell r="AR23">
            <v>135520</v>
          </cell>
          <cell r="AS23">
            <v>12000</v>
          </cell>
          <cell r="AT23">
            <v>0</v>
          </cell>
          <cell r="BD23">
            <v>0</v>
          </cell>
          <cell r="BE23">
            <v>0</v>
          </cell>
          <cell r="BF23">
            <v>0</v>
          </cell>
        </row>
        <row r="24">
          <cell r="H24">
            <v>0</v>
          </cell>
          <cell r="I24">
            <v>0</v>
          </cell>
          <cell r="J24">
            <v>0</v>
          </cell>
          <cell r="T24">
            <v>813120</v>
          </cell>
          <cell r="U24">
            <v>24000</v>
          </cell>
          <cell r="V24">
            <v>0</v>
          </cell>
          <cell r="AF24">
            <v>813120</v>
          </cell>
          <cell r="AG24">
            <v>24000</v>
          </cell>
          <cell r="AH24">
            <v>0</v>
          </cell>
          <cell r="AR24">
            <v>0</v>
          </cell>
          <cell r="AS24">
            <v>0</v>
          </cell>
          <cell r="AT24">
            <v>0</v>
          </cell>
          <cell r="BD24">
            <v>0</v>
          </cell>
          <cell r="BE24">
            <v>0</v>
          </cell>
          <cell r="BF24">
            <v>0</v>
          </cell>
        </row>
        <row r="25">
          <cell r="H25">
            <v>0</v>
          </cell>
          <cell r="I25">
            <v>0</v>
          </cell>
          <cell r="J25">
            <v>0</v>
          </cell>
          <cell r="T25">
            <v>813120</v>
          </cell>
          <cell r="U25">
            <v>24000</v>
          </cell>
          <cell r="V25">
            <v>0</v>
          </cell>
          <cell r="AF25">
            <v>813120</v>
          </cell>
          <cell r="AG25">
            <v>24000</v>
          </cell>
          <cell r="AH25">
            <v>0</v>
          </cell>
          <cell r="AR25">
            <v>813120</v>
          </cell>
          <cell r="AS25">
            <v>24000</v>
          </cell>
          <cell r="AT25">
            <v>0</v>
          </cell>
          <cell r="BD25">
            <v>0</v>
          </cell>
          <cell r="BE25">
            <v>0</v>
          </cell>
          <cell r="BF25">
            <v>0</v>
          </cell>
        </row>
        <row r="26">
          <cell r="H26">
            <v>0</v>
          </cell>
          <cell r="I26">
            <v>0</v>
          </cell>
          <cell r="J26">
            <v>690000</v>
          </cell>
          <cell r="T26">
            <v>0</v>
          </cell>
          <cell r="U26">
            <v>0</v>
          </cell>
          <cell r="V26">
            <v>690000</v>
          </cell>
          <cell r="AF26">
            <v>0</v>
          </cell>
          <cell r="AG26">
            <v>0</v>
          </cell>
          <cell r="AH26">
            <v>690000</v>
          </cell>
          <cell r="AR26">
            <v>0</v>
          </cell>
          <cell r="AS26">
            <v>0</v>
          </cell>
          <cell r="AT26">
            <v>690000</v>
          </cell>
          <cell r="BD26">
            <v>0</v>
          </cell>
          <cell r="BE26">
            <v>0</v>
          </cell>
          <cell r="BF26">
            <v>690000</v>
          </cell>
        </row>
        <row r="27">
          <cell r="H27">
            <v>0</v>
          </cell>
          <cell r="I27">
            <v>0</v>
          </cell>
          <cell r="J27">
            <v>0</v>
          </cell>
          <cell r="T27">
            <v>0</v>
          </cell>
          <cell r="U27">
            <v>0</v>
          </cell>
          <cell r="V27">
            <v>0</v>
          </cell>
          <cell r="AF27">
            <v>0</v>
          </cell>
          <cell r="AG27">
            <v>0</v>
          </cell>
          <cell r="AH27">
            <v>0</v>
          </cell>
          <cell r="AR27">
            <v>0</v>
          </cell>
          <cell r="AS27">
            <v>0</v>
          </cell>
          <cell r="AT27">
            <v>0</v>
          </cell>
          <cell r="BD27">
            <v>0</v>
          </cell>
          <cell r="BE27">
            <v>0</v>
          </cell>
          <cell r="BF27">
            <v>0</v>
          </cell>
        </row>
        <row r="28">
          <cell r="H28">
            <v>0</v>
          </cell>
          <cell r="I28">
            <v>0</v>
          </cell>
          <cell r="J28">
            <v>0</v>
          </cell>
          <cell r="T28">
            <v>903168</v>
          </cell>
          <cell r="U28">
            <v>108000</v>
          </cell>
          <cell r="V28">
            <v>27600000</v>
          </cell>
          <cell r="AF28">
            <v>0</v>
          </cell>
          <cell r="AG28">
            <v>0</v>
          </cell>
          <cell r="AH28">
            <v>11500000</v>
          </cell>
          <cell r="AR28">
            <v>0</v>
          </cell>
          <cell r="AS28">
            <v>0</v>
          </cell>
          <cell r="AT28">
            <v>11500000</v>
          </cell>
          <cell r="BD28">
            <v>0</v>
          </cell>
          <cell r="BE28">
            <v>0</v>
          </cell>
          <cell r="BF28">
            <v>11500000</v>
          </cell>
        </row>
        <row r="29">
          <cell r="H29">
            <v>0</v>
          </cell>
          <cell r="I29">
            <v>0</v>
          </cell>
          <cell r="J29">
            <v>0</v>
          </cell>
          <cell r="T29">
            <v>0</v>
          </cell>
          <cell r="U29">
            <v>768000</v>
          </cell>
          <cell r="V29">
            <v>0</v>
          </cell>
          <cell r="AF29">
            <v>0</v>
          </cell>
          <cell r="AG29">
            <v>768000</v>
          </cell>
          <cell r="AH29">
            <v>0</v>
          </cell>
          <cell r="AR29">
            <v>0</v>
          </cell>
          <cell r="AS29">
            <v>768000</v>
          </cell>
          <cell r="AT29">
            <v>0</v>
          </cell>
          <cell r="BD29">
            <v>0</v>
          </cell>
          <cell r="BE29">
            <v>768000</v>
          </cell>
          <cell r="BF29">
            <v>0</v>
          </cell>
        </row>
        <row r="30">
          <cell r="H30">
            <v>0</v>
          </cell>
          <cell r="I30">
            <v>0</v>
          </cell>
          <cell r="J30">
            <v>2012500</v>
          </cell>
          <cell r="T30">
            <v>0</v>
          </cell>
          <cell r="U30">
            <v>0</v>
          </cell>
          <cell r="V30">
            <v>2012500</v>
          </cell>
          <cell r="AF30">
            <v>0</v>
          </cell>
          <cell r="AG30">
            <v>0</v>
          </cell>
          <cell r="AH30">
            <v>2012500</v>
          </cell>
          <cell r="AR30">
            <v>0</v>
          </cell>
          <cell r="AS30">
            <v>0</v>
          </cell>
          <cell r="AT30">
            <v>2012500</v>
          </cell>
          <cell r="BD30">
            <v>0</v>
          </cell>
          <cell r="BE30">
            <v>0</v>
          </cell>
          <cell r="BF30">
            <v>2012500</v>
          </cell>
        </row>
        <row r="31">
          <cell r="H31">
            <v>0</v>
          </cell>
          <cell r="I31">
            <v>0</v>
          </cell>
          <cell r="J31">
            <v>0</v>
          </cell>
          <cell r="T31">
            <v>0</v>
          </cell>
          <cell r="U31">
            <v>0</v>
          </cell>
          <cell r="V31">
            <v>0</v>
          </cell>
          <cell r="AF31">
            <v>0</v>
          </cell>
          <cell r="AG31">
            <v>0</v>
          </cell>
          <cell r="AH31">
            <v>0</v>
          </cell>
          <cell r="AR31">
            <v>0</v>
          </cell>
          <cell r="AS31">
            <v>0</v>
          </cell>
          <cell r="AT31">
            <v>0</v>
          </cell>
          <cell r="BD31">
            <v>0</v>
          </cell>
          <cell r="BE31">
            <v>0</v>
          </cell>
          <cell r="BF31">
            <v>0</v>
          </cell>
        </row>
        <row r="32">
          <cell r="H32">
            <v>0</v>
          </cell>
          <cell r="I32">
            <v>2040000</v>
          </cell>
          <cell r="J32">
            <v>0</v>
          </cell>
          <cell r="T32">
            <v>0</v>
          </cell>
          <cell r="U32">
            <v>2040000</v>
          </cell>
          <cell r="V32">
            <v>0</v>
          </cell>
          <cell r="AF32">
            <v>0</v>
          </cell>
          <cell r="AG32">
            <v>2040000</v>
          </cell>
          <cell r="AH32">
            <v>0</v>
          </cell>
          <cell r="AR32">
            <v>0</v>
          </cell>
          <cell r="AS32">
            <v>2040000</v>
          </cell>
          <cell r="AT32">
            <v>0</v>
          </cell>
          <cell r="BD32">
            <v>0</v>
          </cell>
          <cell r="BE32">
            <v>2040000</v>
          </cell>
          <cell r="BF32">
            <v>0</v>
          </cell>
        </row>
        <row r="33">
          <cell r="H33">
            <v>0</v>
          </cell>
          <cell r="I33">
            <v>1020000</v>
          </cell>
          <cell r="J33">
            <v>0</v>
          </cell>
          <cell r="T33">
            <v>0</v>
          </cell>
          <cell r="U33">
            <v>1020000</v>
          </cell>
          <cell r="V33">
            <v>0</v>
          </cell>
          <cell r="AF33">
            <v>0</v>
          </cell>
          <cell r="AG33">
            <v>1020000</v>
          </cell>
          <cell r="AH33">
            <v>0</v>
          </cell>
          <cell r="AR33">
            <v>0</v>
          </cell>
          <cell r="AS33">
            <v>1020000</v>
          </cell>
          <cell r="AT33">
            <v>0</v>
          </cell>
          <cell r="BD33">
            <v>0</v>
          </cell>
          <cell r="BE33">
            <v>1020000</v>
          </cell>
          <cell r="BF33">
            <v>0</v>
          </cell>
        </row>
        <row r="34">
          <cell r="H34">
            <v>0</v>
          </cell>
          <cell r="I34">
            <v>0</v>
          </cell>
          <cell r="J34">
            <v>0</v>
          </cell>
          <cell r="T34">
            <v>0</v>
          </cell>
          <cell r="U34">
            <v>444000</v>
          </cell>
          <cell r="V34">
            <v>0</v>
          </cell>
          <cell r="AF34">
            <v>0</v>
          </cell>
          <cell r="AG34">
            <v>444000</v>
          </cell>
          <cell r="AH34">
            <v>0</v>
          </cell>
          <cell r="AR34">
            <v>0</v>
          </cell>
          <cell r="AS34">
            <v>0</v>
          </cell>
          <cell r="AT34">
            <v>0</v>
          </cell>
          <cell r="BD34">
            <v>0</v>
          </cell>
          <cell r="BE34">
            <v>0</v>
          </cell>
          <cell r="BF34">
            <v>0</v>
          </cell>
        </row>
        <row r="35">
          <cell r="H35">
            <v>0</v>
          </cell>
          <cell r="I35">
            <v>0</v>
          </cell>
          <cell r="J35">
            <v>0</v>
          </cell>
          <cell r="T35">
            <v>0</v>
          </cell>
          <cell r="U35">
            <v>319200</v>
          </cell>
          <cell r="V35">
            <v>0</v>
          </cell>
          <cell r="AF35">
            <v>0</v>
          </cell>
          <cell r="AG35">
            <v>0</v>
          </cell>
          <cell r="AH35">
            <v>0</v>
          </cell>
          <cell r="AR35">
            <v>0</v>
          </cell>
          <cell r="AS35">
            <v>840000</v>
          </cell>
          <cell r="AT35">
            <v>0</v>
          </cell>
          <cell r="BD35">
            <v>0</v>
          </cell>
          <cell r="BE35">
            <v>0</v>
          </cell>
          <cell r="BF35">
            <v>0</v>
          </cell>
        </row>
        <row r="36">
          <cell r="H36">
            <v>0</v>
          </cell>
          <cell r="I36">
            <v>1500000</v>
          </cell>
          <cell r="J36">
            <v>0</v>
          </cell>
          <cell r="T36">
            <v>0</v>
          </cell>
          <cell r="U36">
            <v>1500000</v>
          </cell>
          <cell r="V36">
            <v>0</v>
          </cell>
          <cell r="AF36">
            <v>0</v>
          </cell>
          <cell r="AG36">
            <v>0</v>
          </cell>
          <cell r="AH36">
            <v>0</v>
          </cell>
          <cell r="AR36">
            <v>0</v>
          </cell>
          <cell r="AS36">
            <v>0</v>
          </cell>
          <cell r="AT36">
            <v>0</v>
          </cell>
          <cell r="BD36">
            <v>0</v>
          </cell>
          <cell r="BE36">
            <v>0</v>
          </cell>
          <cell r="BF36">
            <v>0</v>
          </cell>
        </row>
        <row r="37">
          <cell r="H37">
            <v>0</v>
          </cell>
          <cell r="I37">
            <v>504000</v>
          </cell>
          <cell r="J37">
            <v>0</v>
          </cell>
          <cell r="T37">
            <v>0</v>
          </cell>
          <cell r="U37">
            <v>504000</v>
          </cell>
          <cell r="V37">
            <v>0</v>
          </cell>
          <cell r="AF37">
            <v>0</v>
          </cell>
          <cell r="AG37">
            <v>0</v>
          </cell>
          <cell r="AH37">
            <v>0</v>
          </cell>
          <cell r="AR37">
            <v>0</v>
          </cell>
          <cell r="AS37">
            <v>0</v>
          </cell>
          <cell r="AT37">
            <v>0</v>
          </cell>
          <cell r="BD37">
            <v>0</v>
          </cell>
          <cell r="BE37">
            <v>0</v>
          </cell>
          <cell r="BF37">
            <v>0</v>
          </cell>
        </row>
        <row r="39">
          <cell r="H39">
            <v>0</v>
          </cell>
          <cell r="I39">
            <v>182400</v>
          </cell>
          <cell r="J39">
            <v>0</v>
          </cell>
          <cell r="T39">
            <v>1084160</v>
          </cell>
          <cell r="U39">
            <v>0</v>
          </cell>
          <cell r="V39">
            <v>0</v>
          </cell>
          <cell r="AF39">
            <v>813120</v>
          </cell>
          <cell r="AG39">
            <v>0</v>
          </cell>
          <cell r="AH39">
            <v>0</v>
          </cell>
          <cell r="AR39">
            <v>0</v>
          </cell>
          <cell r="AS39">
            <v>0</v>
          </cell>
          <cell r="AT39">
            <v>0</v>
          </cell>
          <cell r="BD39">
            <v>0</v>
          </cell>
          <cell r="BE39">
            <v>0</v>
          </cell>
          <cell r="BF39">
            <v>0</v>
          </cell>
        </row>
        <row r="40">
          <cell r="H40">
            <v>1354752</v>
          </cell>
          <cell r="I40">
            <v>32400</v>
          </cell>
          <cell r="J40">
            <v>0</v>
          </cell>
          <cell r="T40">
            <v>1354752</v>
          </cell>
          <cell r="U40">
            <v>32400</v>
          </cell>
          <cell r="V40">
            <v>0</v>
          </cell>
          <cell r="AF40">
            <v>1354752</v>
          </cell>
          <cell r="AG40">
            <v>32400</v>
          </cell>
          <cell r="AH40">
            <v>0</v>
          </cell>
          <cell r="AR40">
            <v>1354752</v>
          </cell>
          <cell r="AS40">
            <v>32400</v>
          </cell>
          <cell r="AT40">
            <v>0</v>
          </cell>
          <cell r="BD40">
            <v>1354752</v>
          </cell>
          <cell r="BE40">
            <v>32400</v>
          </cell>
          <cell r="BF40">
            <v>0</v>
          </cell>
        </row>
        <row r="41">
          <cell r="H41">
            <v>1583680</v>
          </cell>
          <cell r="I41">
            <v>33600</v>
          </cell>
          <cell r="J41">
            <v>0</v>
          </cell>
          <cell r="T41">
            <v>1583680</v>
          </cell>
          <cell r="U41">
            <v>33600</v>
          </cell>
          <cell r="V41">
            <v>0</v>
          </cell>
          <cell r="AF41">
            <v>1583680</v>
          </cell>
          <cell r="AG41">
            <v>33600</v>
          </cell>
          <cell r="AH41">
            <v>0</v>
          </cell>
          <cell r="AR41">
            <v>0</v>
          </cell>
          <cell r="AS41">
            <v>0</v>
          </cell>
          <cell r="AT41">
            <v>0</v>
          </cell>
          <cell r="BD41">
            <v>0</v>
          </cell>
          <cell r="BE41">
            <v>0</v>
          </cell>
          <cell r="BF41">
            <v>0</v>
          </cell>
        </row>
        <row r="42">
          <cell r="H42">
            <v>0</v>
          </cell>
          <cell r="I42">
            <v>0</v>
          </cell>
          <cell r="J42">
            <v>6900000</v>
          </cell>
          <cell r="T42">
            <v>0</v>
          </cell>
          <cell r="U42">
            <v>0</v>
          </cell>
          <cell r="V42">
            <v>7130000</v>
          </cell>
          <cell r="AF42">
            <v>0</v>
          </cell>
          <cell r="AG42">
            <v>0</v>
          </cell>
          <cell r="AH42">
            <v>7130000</v>
          </cell>
          <cell r="AR42">
            <v>0</v>
          </cell>
          <cell r="AS42">
            <v>0</v>
          </cell>
          <cell r="AT42">
            <v>6900000</v>
          </cell>
          <cell r="BD42">
            <v>0</v>
          </cell>
          <cell r="BE42">
            <v>0</v>
          </cell>
          <cell r="BF42">
            <v>6900000</v>
          </cell>
        </row>
        <row r="43">
          <cell r="H43">
            <v>0</v>
          </cell>
          <cell r="I43">
            <v>0</v>
          </cell>
          <cell r="J43">
            <v>724500</v>
          </cell>
          <cell r="T43">
            <v>0</v>
          </cell>
          <cell r="U43">
            <v>0</v>
          </cell>
          <cell r="V43">
            <v>713000</v>
          </cell>
          <cell r="AF43">
            <v>0</v>
          </cell>
          <cell r="AG43">
            <v>0</v>
          </cell>
          <cell r="AH43">
            <v>713000</v>
          </cell>
          <cell r="AR43">
            <v>0</v>
          </cell>
          <cell r="AS43">
            <v>0</v>
          </cell>
          <cell r="AT43">
            <v>736000</v>
          </cell>
          <cell r="BD43">
            <v>0</v>
          </cell>
          <cell r="BE43">
            <v>0</v>
          </cell>
          <cell r="BF43">
            <v>724500</v>
          </cell>
        </row>
        <row r="44">
          <cell r="H44">
            <v>0</v>
          </cell>
          <cell r="I44">
            <v>0</v>
          </cell>
          <cell r="J44">
            <v>1955000</v>
          </cell>
          <cell r="T44">
            <v>0</v>
          </cell>
          <cell r="U44">
            <v>0</v>
          </cell>
          <cell r="V44">
            <v>1955000</v>
          </cell>
          <cell r="AF44">
            <v>0</v>
          </cell>
          <cell r="AG44">
            <v>0</v>
          </cell>
          <cell r="AH44">
            <v>1955000</v>
          </cell>
          <cell r="AR44">
            <v>0</v>
          </cell>
          <cell r="AS44">
            <v>0</v>
          </cell>
          <cell r="AT44">
            <v>2070000</v>
          </cell>
          <cell r="BD44">
            <v>0</v>
          </cell>
          <cell r="BE44">
            <v>0</v>
          </cell>
          <cell r="BF44">
            <v>2070000</v>
          </cell>
        </row>
        <row r="45">
          <cell r="H45">
            <v>0</v>
          </cell>
          <cell r="I45">
            <v>0</v>
          </cell>
          <cell r="J45">
            <v>0</v>
          </cell>
          <cell r="T45">
            <v>0</v>
          </cell>
          <cell r="U45">
            <v>798000</v>
          </cell>
          <cell r="V45">
            <v>0</v>
          </cell>
          <cell r="AF45">
            <v>0</v>
          </cell>
          <cell r="AG45">
            <v>798000</v>
          </cell>
          <cell r="AH45">
            <v>0</v>
          </cell>
          <cell r="AR45">
            <v>0</v>
          </cell>
          <cell r="AS45">
            <v>798000</v>
          </cell>
          <cell r="AT45">
            <v>0</v>
          </cell>
          <cell r="BD45">
            <v>0</v>
          </cell>
          <cell r="BE45">
            <v>798000</v>
          </cell>
          <cell r="BF45">
            <v>0</v>
          </cell>
        </row>
        <row r="46">
          <cell r="H46">
            <v>0</v>
          </cell>
          <cell r="I46">
            <v>249600</v>
          </cell>
          <cell r="J46">
            <v>0</v>
          </cell>
          <cell r="T46">
            <v>0</v>
          </cell>
          <cell r="U46">
            <v>249600</v>
          </cell>
          <cell r="V46">
            <v>0</v>
          </cell>
          <cell r="AF46">
            <v>0</v>
          </cell>
          <cell r="AG46">
            <v>0</v>
          </cell>
          <cell r="AH46">
            <v>0</v>
          </cell>
          <cell r="AR46">
            <v>0</v>
          </cell>
          <cell r="AS46">
            <v>0</v>
          </cell>
          <cell r="AT46">
            <v>0</v>
          </cell>
          <cell r="BD46">
            <v>0</v>
          </cell>
          <cell r="BE46">
            <v>0</v>
          </cell>
          <cell r="BF46">
            <v>0</v>
          </cell>
        </row>
        <row r="47">
          <cell r="H47">
            <v>0</v>
          </cell>
          <cell r="I47">
            <v>0</v>
          </cell>
          <cell r="J47">
            <v>0</v>
          </cell>
          <cell r="T47">
            <v>0</v>
          </cell>
          <cell r="U47">
            <v>249600</v>
          </cell>
          <cell r="V47">
            <v>0</v>
          </cell>
          <cell r="AF47">
            <v>0</v>
          </cell>
          <cell r="AG47">
            <v>249600</v>
          </cell>
          <cell r="AH47">
            <v>0</v>
          </cell>
          <cell r="AR47">
            <v>0</v>
          </cell>
          <cell r="AS47">
            <v>0</v>
          </cell>
          <cell r="AT47">
            <v>0</v>
          </cell>
          <cell r="BD47">
            <v>0</v>
          </cell>
          <cell r="BE47">
            <v>0</v>
          </cell>
          <cell r="BF47">
            <v>0</v>
          </cell>
        </row>
        <row r="48">
          <cell r="H48">
            <v>0</v>
          </cell>
          <cell r="I48">
            <v>342000</v>
          </cell>
          <cell r="J48">
            <v>0</v>
          </cell>
          <cell r="T48">
            <v>0</v>
          </cell>
          <cell r="U48">
            <v>342000</v>
          </cell>
          <cell r="V48">
            <v>0</v>
          </cell>
          <cell r="AF48">
            <v>0</v>
          </cell>
          <cell r="AG48">
            <v>342000</v>
          </cell>
          <cell r="AH48">
            <v>0</v>
          </cell>
          <cell r="AR48">
            <v>0</v>
          </cell>
          <cell r="AS48">
            <v>0</v>
          </cell>
          <cell r="AT48">
            <v>0</v>
          </cell>
          <cell r="BD48">
            <v>0</v>
          </cell>
          <cell r="BE48">
            <v>0</v>
          </cell>
          <cell r="BF48">
            <v>0</v>
          </cell>
        </row>
        <row r="49">
          <cell r="H49">
            <v>0</v>
          </cell>
          <cell r="I49">
            <v>0</v>
          </cell>
          <cell r="J49">
            <v>0</v>
          </cell>
          <cell r="T49">
            <v>791840</v>
          </cell>
          <cell r="U49">
            <v>16800</v>
          </cell>
          <cell r="V49">
            <v>0</v>
          </cell>
          <cell r="AF49">
            <v>791840</v>
          </cell>
          <cell r="AG49">
            <v>14000</v>
          </cell>
          <cell r="AH49">
            <v>0</v>
          </cell>
          <cell r="AR49">
            <v>1583680</v>
          </cell>
          <cell r="AS49">
            <v>33600</v>
          </cell>
          <cell r="AT49">
            <v>0</v>
          </cell>
          <cell r="BD49">
            <v>1583680</v>
          </cell>
          <cell r="BE49">
            <v>33600</v>
          </cell>
          <cell r="BF49">
            <v>0</v>
          </cell>
        </row>
        <row r="50">
          <cell r="H50">
            <v>0</v>
          </cell>
          <cell r="I50">
            <v>0</v>
          </cell>
          <cell r="J50">
            <v>0</v>
          </cell>
          <cell r="T50">
            <v>271320</v>
          </cell>
          <cell r="U50">
            <v>729600</v>
          </cell>
          <cell r="V50">
            <v>0</v>
          </cell>
          <cell r="AF50">
            <v>271320</v>
          </cell>
          <cell r="AG50">
            <v>729600</v>
          </cell>
          <cell r="AH50">
            <v>0</v>
          </cell>
          <cell r="AR50">
            <v>271320</v>
          </cell>
          <cell r="AS50">
            <v>729600</v>
          </cell>
          <cell r="AT50">
            <v>0</v>
          </cell>
          <cell r="BD50">
            <v>271320</v>
          </cell>
          <cell r="BE50">
            <v>729600</v>
          </cell>
          <cell r="BF50">
            <v>0</v>
          </cell>
        </row>
        <row r="51">
          <cell r="H51">
            <v>0</v>
          </cell>
          <cell r="I51">
            <v>0</v>
          </cell>
          <cell r="J51">
            <v>0</v>
          </cell>
          <cell r="T51">
            <v>406560</v>
          </cell>
          <cell r="U51">
            <v>0</v>
          </cell>
          <cell r="V51">
            <v>0</v>
          </cell>
          <cell r="AF51">
            <v>406560</v>
          </cell>
          <cell r="AG51">
            <v>0</v>
          </cell>
          <cell r="AH51">
            <v>0</v>
          </cell>
          <cell r="AR51">
            <v>406560</v>
          </cell>
          <cell r="AS51">
            <v>0</v>
          </cell>
          <cell r="AT51">
            <v>0</v>
          </cell>
          <cell r="BD51">
            <v>406560</v>
          </cell>
          <cell r="BE51">
            <v>0</v>
          </cell>
          <cell r="BF51">
            <v>0</v>
          </cell>
        </row>
        <row r="52">
          <cell r="H52">
            <v>0</v>
          </cell>
          <cell r="I52">
            <v>0</v>
          </cell>
          <cell r="J52">
            <v>0</v>
          </cell>
          <cell r="T52">
            <v>0</v>
          </cell>
          <cell r="U52">
            <v>0</v>
          </cell>
          <cell r="V52">
            <v>0</v>
          </cell>
          <cell r="AF52">
            <v>0</v>
          </cell>
          <cell r="AG52">
            <v>840000</v>
          </cell>
          <cell r="AH52">
            <v>0</v>
          </cell>
          <cell r="AR52">
            <v>0</v>
          </cell>
          <cell r="AS52">
            <v>840000</v>
          </cell>
          <cell r="AT52">
            <v>0</v>
          </cell>
          <cell r="BD52">
            <v>0</v>
          </cell>
          <cell r="BE52">
            <v>840000</v>
          </cell>
          <cell r="BF52">
            <v>0</v>
          </cell>
        </row>
        <row r="53">
          <cell r="H53">
            <v>0</v>
          </cell>
          <cell r="I53">
            <v>0</v>
          </cell>
          <cell r="J53">
            <v>0</v>
          </cell>
          <cell r="T53">
            <v>0</v>
          </cell>
          <cell r="U53">
            <v>0</v>
          </cell>
          <cell r="V53">
            <v>0</v>
          </cell>
          <cell r="AF53">
            <v>0</v>
          </cell>
          <cell r="AG53">
            <v>800400</v>
          </cell>
          <cell r="AH53">
            <v>0</v>
          </cell>
          <cell r="AR53">
            <v>0</v>
          </cell>
          <cell r="AS53">
            <v>800400</v>
          </cell>
          <cell r="AT53">
            <v>0</v>
          </cell>
          <cell r="BD53">
            <v>0</v>
          </cell>
          <cell r="BE53">
            <v>800400</v>
          </cell>
          <cell r="BF53">
            <v>0</v>
          </cell>
        </row>
        <row r="54">
          <cell r="H54">
            <v>0</v>
          </cell>
          <cell r="I54">
            <v>0</v>
          </cell>
          <cell r="J54">
            <v>0</v>
          </cell>
          <cell r="T54">
            <v>135520</v>
          </cell>
          <cell r="U54">
            <v>0</v>
          </cell>
          <cell r="V54">
            <v>0</v>
          </cell>
          <cell r="AF54">
            <v>135520</v>
          </cell>
          <cell r="AG54">
            <v>0</v>
          </cell>
          <cell r="AH54">
            <v>0</v>
          </cell>
          <cell r="AR54">
            <v>135520</v>
          </cell>
          <cell r="AS54">
            <v>0</v>
          </cell>
          <cell r="AT54">
            <v>0</v>
          </cell>
          <cell r="BD54">
            <v>0</v>
          </cell>
          <cell r="BE54">
            <v>0</v>
          </cell>
          <cell r="BF54">
            <v>0</v>
          </cell>
        </row>
        <row r="55">
          <cell r="H55">
            <v>0</v>
          </cell>
          <cell r="I55">
            <v>0</v>
          </cell>
          <cell r="J55">
            <v>0</v>
          </cell>
          <cell r="T55">
            <v>542080</v>
          </cell>
          <cell r="U55">
            <v>0</v>
          </cell>
          <cell r="V55">
            <v>0</v>
          </cell>
          <cell r="AF55">
            <v>542080</v>
          </cell>
          <cell r="AG55">
            <v>0</v>
          </cell>
          <cell r="AH55">
            <v>0</v>
          </cell>
          <cell r="AR55">
            <v>542080</v>
          </cell>
          <cell r="AS55">
            <v>0</v>
          </cell>
          <cell r="AT55">
            <v>0</v>
          </cell>
          <cell r="BD55">
            <v>0</v>
          </cell>
          <cell r="BE55">
            <v>0</v>
          </cell>
          <cell r="BF55">
            <v>0</v>
          </cell>
        </row>
        <row r="56">
          <cell r="H56">
            <v>0</v>
          </cell>
          <cell r="I56">
            <v>0</v>
          </cell>
          <cell r="J56">
            <v>0</v>
          </cell>
          <cell r="T56">
            <v>0</v>
          </cell>
          <cell r="U56">
            <v>360000</v>
          </cell>
          <cell r="V56">
            <v>0</v>
          </cell>
          <cell r="AF56">
            <v>0</v>
          </cell>
          <cell r="AG56">
            <v>360000</v>
          </cell>
          <cell r="AH56">
            <v>0</v>
          </cell>
          <cell r="AR56">
            <v>0</v>
          </cell>
          <cell r="AS56">
            <v>360000</v>
          </cell>
          <cell r="AT56">
            <v>0</v>
          </cell>
          <cell r="BD56">
            <v>0</v>
          </cell>
          <cell r="BE56">
            <v>420000</v>
          </cell>
          <cell r="BF56">
            <v>0</v>
          </cell>
        </row>
        <row r="57">
          <cell r="H57">
            <v>0</v>
          </cell>
          <cell r="I57">
            <v>0</v>
          </cell>
          <cell r="J57">
            <v>0</v>
          </cell>
          <cell r="T57">
            <v>0</v>
          </cell>
          <cell r="U57">
            <v>120000</v>
          </cell>
          <cell r="V57">
            <v>0</v>
          </cell>
          <cell r="AF57">
            <v>0</v>
          </cell>
          <cell r="AG57">
            <v>120000</v>
          </cell>
          <cell r="AH57">
            <v>0</v>
          </cell>
          <cell r="AR57">
            <v>0</v>
          </cell>
          <cell r="AS57">
            <v>120000</v>
          </cell>
          <cell r="AT57">
            <v>0</v>
          </cell>
          <cell r="BD57">
            <v>0</v>
          </cell>
          <cell r="BE57">
            <v>144000</v>
          </cell>
          <cell r="BF57">
            <v>0</v>
          </cell>
        </row>
        <row r="58">
          <cell r="H58">
            <v>0</v>
          </cell>
          <cell r="I58">
            <v>0</v>
          </cell>
          <cell r="J58">
            <v>0</v>
          </cell>
          <cell r="T58">
            <v>0</v>
          </cell>
          <cell r="U58">
            <v>240000</v>
          </cell>
          <cell r="V58">
            <v>0</v>
          </cell>
          <cell r="AF58">
            <v>0</v>
          </cell>
          <cell r="AG58">
            <v>240000</v>
          </cell>
          <cell r="AH58">
            <v>0</v>
          </cell>
          <cell r="AR58">
            <v>0</v>
          </cell>
          <cell r="AS58">
            <v>240000</v>
          </cell>
          <cell r="AT58">
            <v>0</v>
          </cell>
          <cell r="BD58">
            <v>0</v>
          </cell>
          <cell r="BE58">
            <v>240000</v>
          </cell>
          <cell r="BF58">
            <v>0</v>
          </cell>
        </row>
        <row r="59">
          <cell r="H59">
            <v>0</v>
          </cell>
          <cell r="I59">
            <v>0</v>
          </cell>
          <cell r="J59">
            <v>0</v>
          </cell>
          <cell r="T59">
            <v>0</v>
          </cell>
          <cell r="U59">
            <v>144600</v>
          </cell>
          <cell r="V59">
            <v>0</v>
          </cell>
          <cell r="AF59">
            <v>0</v>
          </cell>
          <cell r="AG59">
            <v>144600</v>
          </cell>
          <cell r="AH59">
            <v>0</v>
          </cell>
          <cell r="AR59">
            <v>0</v>
          </cell>
          <cell r="AS59">
            <v>144600</v>
          </cell>
          <cell r="AT59">
            <v>0</v>
          </cell>
          <cell r="BD59">
            <v>0</v>
          </cell>
          <cell r="BE59">
            <v>144600</v>
          </cell>
          <cell r="BF59">
            <v>0</v>
          </cell>
        </row>
        <row r="60">
          <cell r="H60">
            <v>0</v>
          </cell>
          <cell r="I60">
            <v>0</v>
          </cell>
          <cell r="J60">
            <v>0</v>
          </cell>
          <cell r="T60">
            <v>0</v>
          </cell>
          <cell r="U60">
            <v>0</v>
          </cell>
          <cell r="V60">
            <v>0</v>
          </cell>
          <cell r="AF60">
            <v>677376</v>
          </cell>
          <cell r="AG60">
            <v>24000</v>
          </cell>
          <cell r="AH60">
            <v>0</v>
          </cell>
          <cell r="AR60">
            <v>0</v>
          </cell>
          <cell r="AS60">
            <v>0</v>
          </cell>
          <cell r="AT60">
            <v>1150000</v>
          </cell>
          <cell r="BD60">
            <v>0</v>
          </cell>
          <cell r="BE60">
            <v>0</v>
          </cell>
          <cell r="BF60">
            <v>1150000</v>
          </cell>
        </row>
        <row r="61">
          <cell r="H61">
            <v>112896</v>
          </cell>
          <cell r="I61">
            <v>0</v>
          </cell>
          <cell r="J61">
            <v>0</v>
          </cell>
          <cell r="T61">
            <v>112896</v>
          </cell>
          <cell r="U61">
            <v>0</v>
          </cell>
          <cell r="V61">
            <v>0</v>
          </cell>
          <cell r="AF61">
            <v>225792</v>
          </cell>
          <cell r="AG61">
            <v>0</v>
          </cell>
          <cell r="AH61">
            <v>0</v>
          </cell>
          <cell r="AR61">
            <v>0</v>
          </cell>
          <cell r="AS61">
            <v>0</v>
          </cell>
          <cell r="AT61">
            <v>0</v>
          </cell>
          <cell r="BD61">
            <v>0</v>
          </cell>
          <cell r="BE61">
            <v>0</v>
          </cell>
          <cell r="BF61">
            <v>0</v>
          </cell>
        </row>
        <row r="62">
          <cell r="H62">
            <v>0</v>
          </cell>
          <cell r="I62">
            <v>0</v>
          </cell>
          <cell r="J62">
            <v>0</v>
          </cell>
          <cell r="T62">
            <v>271040</v>
          </cell>
          <cell r="U62">
            <v>0</v>
          </cell>
          <cell r="V62">
            <v>0</v>
          </cell>
          <cell r="AF62">
            <v>271040</v>
          </cell>
          <cell r="AG62">
            <v>0</v>
          </cell>
          <cell r="AH62">
            <v>0</v>
          </cell>
          <cell r="AR62">
            <v>451584</v>
          </cell>
          <cell r="AS62">
            <v>0</v>
          </cell>
          <cell r="AT62">
            <v>0</v>
          </cell>
          <cell r="BD62">
            <v>0</v>
          </cell>
          <cell r="BE62">
            <v>0</v>
          </cell>
          <cell r="BF62">
            <v>0</v>
          </cell>
        </row>
        <row r="63">
          <cell r="H63">
            <v>361760</v>
          </cell>
          <cell r="I63">
            <v>0</v>
          </cell>
          <cell r="J63">
            <v>0</v>
          </cell>
          <cell r="T63">
            <v>361760</v>
          </cell>
          <cell r="U63">
            <v>0</v>
          </cell>
          <cell r="V63">
            <v>0</v>
          </cell>
          <cell r="AF63">
            <v>451584</v>
          </cell>
          <cell r="AG63">
            <v>0</v>
          </cell>
          <cell r="AH63">
            <v>0</v>
          </cell>
          <cell r="AR63">
            <v>451584</v>
          </cell>
          <cell r="AS63">
            <v>0</v>
          </cell>
          <cell r="AT63">
            <v>0</v>
          </cell>
          <cell r="BD63">
            <v>451584</v>
          </cell>
          <cell r="BE63">
            <v>0</v>
          </cell>
          <cell r="BF63">
            <v>0</v>
          </cell>
        </row>
        <row r="64">
          <cell r="H64">
            <v>361760</v>
          </cell>
          <cell r="I64">
            <v>0</v>
          </cell>
          <cell r="J64">
            <v>0</v>
          </cell>
          <cell r="T64">
            <v>361760</v>
          </cell>
          <cell r="U64">
            <v>0</v>
          </cell>
          <cell r="V64">
            <v>0</v>
          </cell>
          <cell r="AF64">
            <v>451584</v>
          </cell>
          <cell r="AG64">
            <v>0</v>
          </cell>
          <cell r="AH64">
            <v>0</v>
          </cell>
          <cell r="AR64">
            <v>451584</v>
          </cell>
          <cell r="AS64">
            <v>0</v>
          </cell>
          <cell r="AT64">
            <v>0</v>
          </cell>
          <cell r="BD64">
            <v>361760</v>
          </cell>
          <cell r="BE64">
            <v>0</v>
          </cell>
          <cell r="BF64">
            <v>0</v>
          </cell>
        </row>
        <row r="65">
          <cell r="H65">
            <v>0</v>
          </cell>
          <cell r="I65">
            <v>200400</v>
          </cell>
          <cell r="J65">
            <v>0</v>
          </cell>
          <cell r="T65">
            <v>0</v>
          </cell>
          <cell r="U65">
            <v>200400</v>
          </cell>
          <cell r="V65">
            <v>0</v>
          </cell>
          <cell r="AF65">
            <v>0</v>
          </cell>
          <cell r="AG65">
            <v>200400</v>
          </cell>
          <cell r="AH65">
            <v>0</v>
          </cell>
          <cell r="AR65">
            <v>0</v>
          </cell>
          <cell r="AS65">
            <v>200400</v>
          </cell>
          <cell r="AT65">
            <v>0</v>
          </cell>
          <cell r="BD65">
            <v>0</v>
          </cell>
          <cell r="BE65">
            <v>200400</v>
          </cell>
          <cell r="BF65">
            <v>0</v>
          </cell>
        </row>
        <row r="66">
          <cell r="H66">
            <v>0</v>
          </cell>
          <cell r="I66">
            <v>0</v>
          </cell>
          <cell r="J66">
            <v>0</v>
          </cell>
          <cell r="T66">
            <v>0</v>
          </cell>
          <cell r="U66">
            <v>0</v>
          </cell>
          <cell r="V66">
            <v>0</v>
          </cell>
          <cell r="AF66">
            <v>0</v>
          </cell>
          <cell r="AG66">
            <v>0</v>
          </cell>
          <cell r="AH66">
            <v>0</v>
          </cell>
          <cell r="AR66">
            <v>0</v>
          </cell>
          <cell r="AS66">
            <v>0</v>
          </cell>
          <cell r="AT66">
            <v>0</v>
          </cell>
          <cell r="BD66">
            <v>0</v>
          </cell>
          <cell r="BE66">
            <v>0</v>
          </cell>
          <cell r="BF66">
            <v>0</v>
          </cell>
        </row>
        <row r="67">
          <cell r="H67">
            <v>90440</v>
          </cell>
          <cell r="I67">
            <v>0</v>
          </cell>
          <cell r="J67">
            <v>0</v>
          </cell>
          <cell r="T67">
            <v>90440</v>
          </cell>
          <cell r="U67">
            <v>0</v>
          </cell>
          <cell r="V67">
            <v>0</v>
          </cell>
          <cell r="AF67">
            <v>90440</v>
          </cell>
          <cell r="AG67">
            <v>0</v>
          </cell>
          <cell r="AH67">
            <v>0</v>
          </cell>
          <cell r="AR67">
            <v>90440</v>
          </cell>
          <cell r="AS67">
            <v>0</v>
          </cell>
          <cell r="AT67">
            <v>0</v>
          </cell>
          <cell r="BD67">
            <v>90440</v>
          </cell>
          <cell r="BE67">
            <v>0</v>
          </cell>
          <cell r="BF67">
            <v>0</v>
          </cell>
        </row>
        <row r="68">
          <cell r="H68">
            <v>723520</v>
          </cell>
          <cell r="I68">
            <v>0</v>
          </cell>
          <cell r="J68">
            <v>0</v>
          </cell>
          <cell r="T68">
            <v>542640</v>
          </cell>
          <cell r="U68">
            <v>0</v>
          </cell>
          <cell r="V68">
            <v>0</v>
          </cell>
          <cell r="AF68">
            <v>542640</v>
          </cell>
          <cell r="AG68">
            <v>0</v>
          </cell>
          <cell r="AH68">
            <v>0</v>
          </cell>
          <cell r="AR68">
            <v>542640</v>
          </cell>
          <cell r="AS68">
            <v>0</v>
          </cell>
          <cell r="AT68">
            <v>0</v>
          </cell>
          <cell r="BD68">
            <v>723520</v>
          </cell>
          <cell r="BE68">
            <v>0</v>
          </cell>
          <cell r="BF68">
            <v>0</v>
          </cell>
        </row>
        <row r="69">
          <cell r="H69">
            <v>0</v>
          </cell>
          <cell r="I69">
            <v>0</v>
          </cell>
          <cell r="J69">
            <v>0</v>
          </cell>
          <cell r="T69">
            <v>0</v>
          </cell>
          <cell r="U69">
            <v>816000</v>
          </cell>
          <cell r="V69">
            <v>0</v>
          </cell>
          <cell r="AF69">
            <v>0</v>
          </cell>
          <cell r="AG69">
            <v>816000</v>
          </cell>
          <cell r="AH69">
            <v>0</v>
          </cell>
          <cell r="AR69">
            <v>0</v>
          </cell>
          <cell r="AS69">
            <v>816000</v>
          </cell>
          <cell r="AT69">
            <v>0</v>
          </cell>
          <cell r="BD69">
            <v>0</v>
          </cell>
          <cell r="BE69">
            <v>816000</v>
          </cell>
          <cell r="BF69">
            <v>0</v>
          </cell>
        </row>
        <row r="72">
          <cell r="H72">
            <v>104510</v>
          </cell>
          <cell r="I72">
            <v>50160</v>
          </cell>
          <cell r="J72">
            <v>0</v>
          </cell>
          <cell r="T72">
            <v>104510</v>
          </cell>
          <cell r="U72">
            <v>50160</v>
          </cell>
          <cell r="V72">
            <v>0</v>
          </cell>
          <cell r="AF72">
            <v>0</v>
          </cell>
          <cell r="AG72">
            <v>0</v>
          </cell>
          <cell r="AH72">
            <v>0</v>
          </cell>
          <cell r="AR72">
            <v>0</v>
          </cell>
          <cell r="AS72">
            <v>0</v>
          </cell>
          <cell r="AT72">
            <v>0</v>
          </cell>
          <cell r="BD72">
            <v>0</v>
          </cell>
          <cell r="BE72">
            <v>0</v>
          </cell>
          <cell r="BF72">
            <v>0</v>
          </cell>
        </row>
        <row r="73">
          <cell r="H73">
            <v>0</v>
          </cell>
          <cell r="I73">
            <v>960000</v>
          </cell>
          <cell r="J73">
            <v>0</v>
          </cell>
          <cell r="T73">
            <v>0</v>
          </cell>
          <cell r="U73">
            <v>960000</v>
          </cell>
          <cell r="V73">
            <v>0</v>
          </cell>
          <cell r="AF73">
            <v>0</v>
          </cell>
          <cell r="AG73">
            <v>960000</v>
          </cell>
          <cell r="AH73">
            <v>0</v>
          </cell>
          <cell r="AR73">
            <v>0</v>
          </cell>
          <cell r="AS73">
            <v>0</v>
          </cell>
          <cell r="AT73">
            <v>0</v>
          </cell>
          <cell r="BD73">
            <v>0</v>
          </cell>
          <cell r="BE73">
            <v>0</v>
          </cell>
          <cell r="BF73">
            <v>0</v>
          </cell>
        </row>
        <row r="74">
          <cell r="H74">
            <v>104510</v>
          </cell>
          <cell r="I74">
            <v>50160</v>
          </cell>
          <cell r="J74">
            <v>0</v>
          </cell>
          <cell r="T74">
            <v>0</v>
          </cell>
          <cell r="U74">
            <v>0</v>
          </cell>
          <cell r="V74">
            <v>0</v>
          </cell>
          <cell r="AF74">
            <v>12192768</v>
          </cell>
          <cell r="AG74">
            <v>2926264.8</v>
          </cell>
          <cell r="AH74">
            <v>0</v>
          </cell>
          <cell r="AR74">
            <v>0</v>
          </cell>
          <cell r="AS74">
            <v>0</v>
          </cell>
          <cell r="AT74">
            <v>0</v>
          </cell>
          <cell r="BD74">
            <v>0</v>
          </cell>
          <cell r="BE74">
            <v>0</v>
          </cell>
          <cell r="BF74">
            <v>0</v>
          </cell>
        </row>
        <row r="75">
          <cell r="H75">
            <v>0</v>
          </cell>
          <cell r="I75">
            <v>0</v>
          </cell>
          <cell r="J75">
            <v>0</v>
          </cell>
          <cell r="T75">
            <v>0</v>
          </cell>
          <cell r="U75">
            <v>0</v>
          </cell>
          <cell r="V75">
            <v>0</v>
          </cell>
          <cell r="AF75">
            <v>1900416</v>
          </cell>
          <cell r="AG75">
            <v>499200</v>
          </cell>
          <cell r="AH75">
            <v>0</v>
          </cell>
          <cell r="AR75">
            <v>1900416</v>
          </cell>
          <cell r="AS75">
            <v>499200</v>
          </cell>
          <cell r="AT75">
            <v>0</v>
          </cell>
          <cell r="BD75">
            <v>1900416</v>
          </cell>
          <cell r="BE75">
            <v>499200</v>
          </cell>
          <cell r="BF75">
            <v>0</v>
          </cell>
        </row>
        <row r="76">
          <cell r="H76">
            <v>0</v>
          </cell>
          <cell r="I76">
            <v>277200</v>
          </cell>
          <cell r="J76">
            <v>0</v>
          </cell>
          <cell r="T76">
            <v>0</v>
          </cell>
          <cell r="U76">
            <v>277200</v>
          </cell>
          <cell r="V76">
            <v>0</v>
          </cell>
          <cell r="AF76">
            <v>0</v>
          </cell>
          <cell r="AG76">
            <v>0</v>
          </cell>
          <cell r="AH76">
            <v>0</v>
          </cell>
          <cell r="AR76">
            <v>0</v>
          </cell>
          <cell r="AS76">
            <v>0</v>
          </cell>
          <cell r="AT76">
            <v>0</v>
          </cell>
          <cell r="BD76">
            <v>0</v>
          </cell>
          <cell r="BE76">
            <v>0</v>
          </cell>
          <cell r="BF76">
            <v>0</v>
          </cell>
        </row>
        <row r="77">
          <cell r="H77">
            <v>0</v>
          </cell>
          <cell r="I77">
            <v>277200</v>
          </cell>
          <cell r="J77">
            <v>0</v>
          </cell>
          <cell r="T77">
            <v>0</v>
          </cell>
          <cell r="U77">
            <v>277200</v>
          </cell>
          <cell r="V77">
            <v>0</v>
          </cell>
          <cell r="AF77">
            <v>0</v>
          </cell>
          <cell r="AG77">
            <v>0</v>
          </cell>
          <cell r="AH77">
            <v>0</v>
          </cell>
          <cell r="AR77">
            <v>0</v>
          </cell>
          <cell r="AS77">
            <v>0</v>
          </cell>
          <cell r="AT77">
            <v>0</v>
          </cell>
          <cell r="BD77">
            <v>0</v>
          </cell>
          <cell r="BE77">
            <v>0</v>
          </cell>
          <cell r="BF77">
            <v>0</v>
          </cell>
        </row>
        <row r="78">
          <cell r="H78">
            <v>0</v>
          </cell>
          <cell r="I78">
            <v>457200</v>
          </cell>
          <cell r="J78">
            <v>0</v>
          </cell>
          <cell r="T78">
            <v>0</v>
          </cell>
          <cell r="U78">
            <v>457200</v>
          </cell>
          <cell r="V78">
            <v>0</v>
          </cell>
          <cell r="AF78">
            <v>0</v>
          </cell>
          <cell r="AG78">
            <v>0</v>
          </cell>
          <cell r="AH78">
            <v>0</v>
          </cell>
          <cell r="AR78">
            <v>0</v>
          </cell>
          <cell r="AS78">
            <v>0</v>
          </cell>
          <cell r="AT78">
            <v>0</v>
          </cell>
          <cell r="BD78">
            <v>0</v>
          </cell>
          <cell r="BE78">
            <v>0</v>
          </cell>
          <cell r="BF78">
            <v>0</v>
          </cell>
        </row>
        <row r="79">
          <cell r="H79">
            <v>0</v>
          </cell>
          <cell r="J79">
            <v>0</v>
          </cell>
          <cell r="T79">
            <v>0</v>
          </cell>
          <cell r="U79">
            <v>0</v>
          </cell>
          <cell r="V79">
            <v>0</v>
          </cell>
          <cell r="AF79">
            <v>0</v>
          </cell>
          <cell r="AG79">
            <v>0</v>
          </cell>
          <cell r="AH79">
            <v>0</v>
          </cell>
          <cell r="AR79">
            <v>0</v>
          </cell>
          <cell r="AS79">
            <v>0</v>
          </cell>
          <cell r="AT79">
            <v>0</v>
          </cell>
          <cell r="BD79">
            <v>0</v>
          </cell>
          <cell r="BE79">
            <v>0</v>
          </cell>
          <cell r="BF79">
            <v>345000</v>
          </cell>
        </row>
        <row r="80">
          <cell r="H80">
            <v>0</v>
          </cell>
          <cell r="I80">
            <v>0</v>
          </cell>
          <cell r="J80">
            <v>0</v>
          </cell>
          <cell r="T80">
            <v>0</v>
          </cell>
          <cell r="U80">
            <v>0</v>
          </cell>
          <cell r="V80">
            <v>0</v>
          </cell>
          <cell r="AF80">
            <v>0</v>
          </cell>
          <cell r="AH80">
            <v>0</v>
          </cell>
          <cell r="AR80">
            <v>0</v>
          </cell>
          <cell r="AS80">
            <v>0</v>
          </cell>
          <cell r="AT80">
            <v>0</v>
          </cell>
          <cell r="BD80">
            <v>0</v>
          </cell>
          <cell r="BE80">
            <v>2280000</v>
          </cell>
          <cell r="BF80">
            <v>0</v>
          </cell>
        </row>
        <row r="81">
          <cell r="H81">
            <v>0</v>
          </cell>
          <cell r="I81">
            <v>0</v>
          </cell>
          <cell r="J81">
            <v>0</v>
          </cell>
          <cell r="T81">
            <v>0</v>
          </cell>
          <cell r="U81">
            <v>0</v>
          </cell>
          <cell r="V81">
            <v>0</v>
          </cell>
          <cell r="AG81">
            <v>0</v>
          </cell>
          <cell r="AH81">
            <v>0</v>
          </cell>
          <cell r="AR81">
            <v>0</v>
          </cell>
          <cell r="AS81">
            <v>0</v>
          </cell>
          <cell r="AT81">
            <v>0</v>
          </cell>
          <cell r="BD81">
            <v>316736</v>
          </cell>
          <cell r="BE81">
            <v>864000</v>
          </cell>
          <cell r="BF81">
            <v>0</v>
          </cell>
        </row>
        <row r="82">
          <cell r="H82">
            <v>0</v>
          </cell>
          <cell r="I82">
            <v>0</v>
          </cell>
          <cell r="J82">
            <v>575000</v>
          </cell>
          <cell r="T82">
            <v>0</v>
          </cell>
          <cell r="U82">
            <v>0</v>
          </cell>
          <cell r="V82">
            <v>575000</v>
          </cell>
          <cell r="AF82">
            <v>0</v>
          </cell>
          <cell r="AG82">
            <v>0</v>
          </cell>
          <cell r="AH82">
            <v>0</v>
          </cell>
          <cell r="AR82">
            <v>0</v>
          </cell>
          <cell r="AS82">
            <v>0</v>
          </cell>
          <cell r="AT82">
            <v>0</v>
          </cell>
          <cell r="BD82">
            <v>0</v>
          </cell>
          <cell r="BE82">
            <v>0</v>
          </cell>
          <cell r="BF82">
            <v>0</v>
          </cell>
        </row>
        <row r="84">
          <cell r="H84">
            <v>0</v>
          </cell>
          <cell r="I84">
            <v>283200</v>
          </cell>
          <cell r="J84">
            <v>0</v>
          </cell>
          <cell r="T84">
            <v>0</v>
          </cell>
          <cell r="U84">
            <v>283200</v>
          </cell>
          <cell r="V84">
            <v>0</v>
          </cell>
          <cell r="AF84">
            <v>0</v>
          </cell>
          <cell r="AG84">
            <v>0</v>
          </cell>
          <cell r="AH84">
            <v>0</v>
          </cell>
          <cell r="AR84">
            <v>0</v>
          </cell>
          <cell r="AS84">
            <v>0</v>
          </cell>
          <cell r="AT84">
            <v>0</v>
          </cell>
          <cell r="BD84">
            <v>0</v>
          </cell>
          <cell r="BE84">
            <v>0</v>
          </cell>
          <cell r="BF84">
            <v>0</v>
          </cell>
        </row>
        <row r="85">
          <cell r="H85">
            <v>0</v>
          </cell>
          <cell r="I85">
            <v>0</v>
          </cell>
          <cell r="J85">
            <v>0</v>
          </cell>
          <cell r="T85">
            <v>0</v>
          </cell>
          <cell r="U85">
            <v>1596000</v>
          </cell>
          <cell r="V85">
            <v>0</v>
          </cell>
          <cell r="AF85">
            <v>0</v>
          </cell>
          <cell r="AG85">
            <v>0</v>
          </cell>
          <cell r="AH85">
            <v>0</v>
          </cell>
          <cell r="AR85">
            <v>0</v>
          </cell>
          <cell r="AS85">
            <v>0</v>
          </cell>
          <cell r="AT85">
            <v>0</v>
          </cell>
          <cell r="BD85">
            <v>0</v>
          </cell>
          <cell r="BE85">
            <v>0</v>
          </cell>
          <cell r="BF85">
            <v>0</v>
          </cell>
        </row>
        <row r="86">
          <cell r="H86">
            <v>0</v>
          </cell>
          <cell r="I86">
            <v>0</v>
          </cell>
          <cell r="J86">
            <v>0</v>
          </cell>
          <cell r="T86">
            <v>0</v>
          </cell>
          <cell r="U86">
            <v>0</v>
          </cell>
          <cell r="V86">
            <v>0</v>
          </cell>
          <cell r="AF86">
            <v>0</v>
          </cell>
          <cell r="AG86">
            <v>0</v>
          </cell>
          <cell r="AH86">
            <v>0</v>
          </cell>
          <cell r="AR86">
            <v>0</v>
          </cell>
          <cell r="AS86">
            <v>0</v>
          </cell>
          <cell r="AT86">
            <v>0</v>
          </cell>
          <cell r="BD86">
            <v>9196880</v>
          </cell>
          <cell r="BE86">
            <v>0</v>
          </cell>
          <cell r="BF86">
            <v>0</v>
          </cell>
        </row>
        <row r="87">
          <cell r="H87">
            <v>0</v>
          </cell>
          <cell r="I87">
            <v>0</v>
          </cell>
          <cell r="J87">
            <v>0</v>
          </cell>
          <cell r="T87">
            <v>0</v>
          </cell>
          <cell r="U87">
            <v>0</v>
          </cell>
          <cell r="V87">
            <v>0</v>
          </cell>
          <cell r="AF87">
            <v>0</v>
          </cell>
          <cell r="AG87">
            <v>0</v>
          </cell>
          <cell r="AH87">
            <v>0</v>
          </cell>
          <cell r="AR87">
            <v>0</v>
          </cell>
          <cell r="AS87">
            <v>0</v>
          </cell>
          <cell r="AT87">
            <v>0</v>
          </cell>
          <cell r="BD87">
            <v>271320</v>
          </cell>
          <cell r="BE87">
            <v>65116.800000000003</v>
          </cell>
          <cell r="BF87">
            <v>0</v>
          </cell>
        </row>
        <row r="88">
          <cell r="H88">
            <v>0</v>
          </cell>
          <cell r="I88">
            <v>633600</v>
          </cell>
          <cell r="J88">
            <v>0</v>
          </cell>
          <cell r="T88">
            <v>0</v>
          </cell>
          <cell r="U88">
            <v>950400</v>
          </cell>
          <cell r="V88">
            <v>0</v>
          </cell>
          <cell r="AF88">
            <v>0</v>
          </cell>
          <cell r="AG88">
            <v>0</v>
          </cell>
          <cell r="AH88">
            <v>0</v>
          </cell>
          <cell r="AR88">
            <v>0</v>
          </cell>
          <cell r="AS88">
            <v>0</v>
          </cell>
          <cell r="AT88">
            <v>0</v>
          </cell>
          <cell r="BD88">
            <v>0</v>
          </cell>
          <cell r="BE88">
            <v>0</v>
          </cell>
          <cell r="BF88">
            <v>0</v>
          </cell>
        </row>
        <row r="89">
          <cell r="H89">
            <v>0</v>
          </cell>
          <cell r="I89">
            <v>0</v>
          </cell>
          <cell r="J89">
            <v>0</v>
          </cell>
          <cell r="T89">
            <v>0</v>
          </cell>
          <cell r="U89">
            <v>0</v>
          </cell>
          <cell r="V89">
            <v>0</v>
          </cell>
          <cell r="AF89">
            <v>0</v>
          </cell>
          <cell r="AG89">
            <v>0</v>
          </cell>
          <cell r="AH89">
            <v>0</v>
          </cell>
          <cell r="AR89">
            <v>0</v>
          </cell>
          <cell r="AS89">
            <v>0</v>
          </cell>
          <cell r="AT89">
            <v>0</v>
          </cell>
          <cell r="BD89">
            <v>3762360</v>
          </cell>
          <cell r="BE89">
            <v>684000</v>
          </cell>
          <cell r="BF89">
            <v>0</v>
          </cell>
        </row>
        <row r="91">
          <cell r="H91">
            <v>0</v>
          </cell>
          <cell r="I91">
            <v>0</v>
          </cell>
          <cell r="J91">
            <v>0</v>
          </cell>
          <cell r="T91">
            <v>0</v>
          </cell>
          <cell r="U91">
            <v>0</v>
          </cell>
          <cell r="V91">
            <v>0</v>
          </cell>
          <cell r="AF91">
            <v>0</v>
          </cell>
          <cell r="AG91">
            <v>0</v>
          </cell>
          <cell r="AH91">
            <v>0</v>
          </cell>
          <cell r="AR91">
            <v>0</v>
          </cell>
          <cell r="AS91">
            <v>0</v>
          </cell>
          <cell r="AT91">
            <v>0</v>
          </cell>
          <cell r="BD91">
            <v>9196880</v>
          </cell>
          <cell r="BE91">
            <v>0</v>
          </cell>
          <cell r="BF91">
            <v>0</v>
          </cell>
        </row>
        <row r="92">
          <cell r="H92">
            <v>316736</v>
          </cell>
          <cell r="I92">
            <v>0</v>
          </cell>
          <cell r="J92">
            <v>0</v>
          </cell>
          <cell r="T92">
            <v>316736</v>
          </cell>
          <cell r="U92">
            <v>0</v>
          </cell>
          <cell r="V92">
            <v>0</v>
          </cell>
          <cell r="AF92">
            <v>316736</v>
          </cell>
          <cell r="AG92">
            <v>0</v>
          </cell>
          <cell r="AH92">
            <v>0</v>
          </cell>
          <cell r="AR92">
            <v>316736</v>
          </cell>
          <cell r="AS92">
            <v>0</v>
          </cell>
          <cell r="AT92">
            <v>0</v>
          </cell>
          <cell r="BD92">
            <v>316736</v>
          </cell>
          <cell r="BE92">
            <v>0</v>
          </cell>
          <cell r="BF92">
            <v>0</v>
          </cell>
        </row>
        <row r="93">
          <cell r="H93">
            <v>0</v>
          </cell>
          <cell r="I93">
            <v>0</v>
          </cell>
          <cell r="J93">
            <v>0</v>
          </cell>
          <cell r="T93">
            <v>0</v>
          </cell>
          <cell r="U93">
            <v>0</v>
          </cell>
          <cell r="V93">
            <v>0</v>
          </cell>
          <cell r="AF93">
            <v>0</v>
          </cell>
          <cell r="AG93">
            <v>0</v>
          </cell>
          <cell r="AH93">
            <v>20700000</v>
          </cell>
          <cell r="AR93">
            <v>0</v>
          </cell>
          <cell r="AS93">
            <v>0</v>
          </cell>
          <cell r="AT93">
            <v>41400000</v>
          </cell>
          <cell r="BD93">
            <v>0</v>
          </cell>
          <cell r="BE93">
            <v>0</v>
          </cell>
          <cell r="BF93">
            <v>62100000</v>
          </cell>
        </row>
        <row r="94">
          <cell r="H94">
            <v>0</v>
          </cell>
          <cell r="I94">
            <v>0</v>
          </cell>
          <cell r="J94">
            <v>0</v>
          </cell>
          <cell r="T94">
            <v>0</v>
          </cell>
          <cell r="U94">
            <v>0</v>
          </cell>
          <cell r="V94">
            <v>0</v>
          </cell>
          <cell r="AF94">
            <v>6651456</v>
          </cell>
          <cell r="AG94">
            <v>0</v>
          </cell>
          <cell r="AH94">
            <v>0</v>
          </cell>
          <cell r="AR94">
            <v>6651456</v>
          </cell>
          <cell r="AS94">
            <v>0</v>
          </cell>
          <cell r="AT94">
            <v>0</v>
          </cell>
          <cell r="BD94">
            <v>6651456</v>
          </cell>
          <cell r="BE94">
            <v>0</v>
          </cell>
          <cell r="BF94">
            <v>0</v>
          </cell>
        </row>
        <row r="95">
          <cell r="H95">
            <v>0</v>
          </cell>
          <cell r="I95">
            <v>0</v>
          </cell>
          <cell r="J95">
            <v>0</v>
          </cell>
          <cell r="T95">
            <v>0</v>
          </cell>
          <cell r="U95">
            <v>0</v>
          </cell>
          <cell r="V95">
            <v>0</v>
          </cell>
          <cell r="AF95">
            <v>1085280</v>
          </cell>
          <cell r="AG95">
            <v>0</v>
          </cell>
          <cell r="AH95">
            <v>0</v>
          </cell>
          <cell r="AR95">
            <v>3325728</v>
          </cell>
          <cell r="AS95">
            <v>0</v>
          </cell>
          <cell r="AT95">
            <v>0</v>
          </cell>
          <cell r="BD95">
            <v>3325728</v>
          </cell>
          <cell r="BE95">
            <v>0</v>
          </cell>
          <cell r="BF95">
            <v>0</v>
          </cell>
        </row>
        <row r="96">
          <cell r="H96">
            <v>0</v>
          </cell>
          <cell r="I96">
            <v>0</v>
          </cell>
          <cell r="J96">
            <v>0</v>
          </cell>
          <cell r="T96">
            <v>0</v>
          </cell>
          <cell r="U96">
            <v>0</v>
          </cell>
          <cell r="V96">
            <v>0</v>
          </cell>
          <cell r="AF96">
            <v>0</v>
          </cell>
          <cell r="AG96">
            <v>1096800</v>
          </cell>
          <cell r="AH96">
            <v>0</v>
          </cell>
          <cell r="AR96">
            <v>0</v>
          </cell>
          <cell r="AS96">
            <v>1140000</v>
          </cell>
          <cell r="AT96">
            <v>0</v>
          </cell>
          <cell r="BD96">
            <v>0</v>
          </cell>
          <cell r="BE96">
            <v>950000</v>
          </cell>
          <cell r="BF96">
            <v>0</v>
          </cell>
        </row>
        <row r="99">
          <cell r="H99">
            <v>3800832</v>
          </cell>
          <cell r="I99">
            <v>744000</v>
          </cell>
          <cell r="J99">
            <v>0</v>
          </cell>
          <cell r="T99">
            <v>3800832</v>
          </cell>
          <cell r="U99">
            <v>720000</v>
          </cell>
          <cell r="V99">
            <v>0</v>
          </cell>
          <cell r="AF99">
            <v>3800832</v>
          </cell>
          <cell r="AG99">
            <v>720000</v>
          </cell>
          <cell r="AH99">
            <v>0</v>
          </cell>
          <cell r="AR99">
            <v>0</v>
          </cell>
          <cell r="AS99">
            <v>0</v>
          </cell>
          <cell r="AT99">
            <v>0</v>
          </cell>
          <cell r="BD99">
            <v>0</v>
          </cell>
          <cell r="BE99">
            <v>0</v>
          </cell>
          <cell r="BF99">
            <v>0</v>
          </cell>
        </row>
        <row r="100">
          <cell r="H100">
            <v>0</v>
          </cell>
          <cell r="I100">
            <v>484800</v>
          </cell>
          <cell r="J100">
            <v>0</v>
          </cell>
          <cell r="T100">
            <v>0</v>
          </cell>
          <cell r="U100">
            <v>484800</v>
          </cell>
          <cell r="V100">
            <v>0</v>
          </cell>
          <cell r="AF100">
            <v>0</v>
          </cell>
          <cell r="AG100">
            <v>484800</v>
          </cell>
          <cell r="AH100">
            <v>0</v>
          </cell>
          <cell r="AR100">
            <v>0</v>
          </cell>
          <cell r="AS100">
            <v>484800</v>
          </cell>
          <cell r="AT100">
            <v>0</v>
          </cell>
          <cell r="BD100">
            <v>0</v>
          </cell>
          <cell r="BE100">
            <v>484800</v>
          </cell>
          <cell r="BF100">
            <v>0</v>
          </cell>
        </row>
        <row r="101">
          <cell r="H101">
            <v>813960</v>
          </cell>
          <cell r="I101">
            <v>0</v>
          </cell>
          <cell r="J101">
            <v>0</v>
          </cell>
          <cell r="T101">
            <v>0</v>
          </cell>
          <cell r="U101">
            <v>504000</v>
          </cell>
          <cell r="V101">
            <v>0</v>
          </cell>
          <cell r="AF101">
            <v>0</v>
          </cell>
          <cell r="AG101">
            <v>504000</v>
          </cell>
          <cell r="AH101">
            <v>0</v>
          </cell>
          <cell r="AR101">
            <v>0</v>
          </cell>
          <cell r="AS101">
            <v>504000</v>
          </cell>
          <cell r="AT101">
            <v>0</v>
          </cell>
          <cell r="BD101">
            <v>0</v>
          </cell>
          <cell r="BE101">
            <v>504000</v>
          </cell>
          <cell r="BF101">
            <v>0</v>
          </cell>
        </row>
        <row r="102">
          <cell r="H102">
            <v>2850624</v>
          </cell>
          <cell r="I102">
            <v>1020000</v>
          </cell>
          <cell r="J102">
            <v>0</v>
          </cell>
          <cell r="T102">
            <v>2850624</v>
          </cell>
          <cell r="U102">
            <v>1020000</v>
          </cell>
          <cell r="V102">
            <v>0</v>
          </cell>
          <cell r="AF102">
            <v>2850624</v>
          </cell>
          <cell r="AG102">
            <v>1020000</v>
          </cell>
          <cell r="AH102">
            <v>0</v>
          </cell>
          <cell r="AR102">
            <v>2850624</v>
          </cell>
          <cell r="AS102">
            <v>1020000</v>
          </cell>
          <cell r="AT102">
            <v>0</v>
          </cell>
          <cell r="BD102">
            <v>2850624</v>
          </cell>
          <cell r="BE102">
            <v>1020000</v>
          </cell>
          <cell r="BF102">
            <v>0</v>
          </cell>
        </row>
        <row r="103">
          <cell r="H103">
            <v>0</v>
          </cell>
          <cell r="I103">
            <v>300000</v>
          </cell>
          <cell r="J103">
            <v>0</v>
          </cell>
          <cell r="T103">
            <v>0</v>
          </cell>
          <cell r="U103">
            <v>300000</v>
          </cell>
          <cell r="V103">
            <v>0</v>
          </cell>
          <cell r="AF103">
            <v>0</v>
          </cell>
          <cell r="AG103">
            <v>300000</v>
          </cell>
          <cell r="AH103">
            <v>0</v>
          </cell>
          <cell r="AR103">
            <v>0</v>
          </cell>
          <cell r="AS103">
            <v>300000</v>
          </cell>
          <cell r="AT103">
            <v>0</v>
          </cell>
          <cell r="BD103">
            <v>0</v>
          </cell>
          <cell r="BE103">
            <v>300000</v>
          </cell>
          <cell r="BF103">
            <v>0</v>
          </cell>
        </row>
        <row r="104">
          <cell r="H104">
            <v>0</v>
          </cell>
          <cell r="I104">
            <v>0</v>
          </cell>
          <cell r="J104">
            <v>0</v>
          </cell>
          <cell r="T104">
            <v>0</v>
          </cell>
          <cell r="U104">
            <v>3120000</v>
          </cell>
          <cell r="V104">
            <v>0</v>
          </cell>
          <cell r="AF104">
            <v>0</v>
          </cell>
          <cell r="AG104">
            <v>3120000</v>
          </cell>
          <cell r="AH104">
            <v>0</v>
          </cell>
          <cell r="AR104">
            <v>0</v>
          </cell>
          <cell r="AS104">
            <v>3120000</v>
          </cell>
          <cell r="AT104">
            <v>0</v>
          </cell>
          <cell r="BD104">
            <v>0</v>
          </cell>
          <cell r="BE104">
            <v>3120000</v>
          </cell>
          <cell r="BF104">
            <v>0</v>
          </cell>
        </row>
        <row r="105">
          <cell r="H105">
            <v>0</v>
          </cell>
          <cell r="I105">
            <v>0</v>
          </cell>
          <cell r="J105">
            <v>0</v>
          </cell>
          <cell r="T105">
            <v>0</v>
          </cell>
          <cell r="U105">
            <v>1200000</v>
          </cell>
          <cell r="V105">
            <v>0</v>
          </cell>
          <cell r="AF105">
            <v>0</v>
          </cell>
          <cell r="AG105">
            <v>0</v>
          </cell>
          <cell r="AH105">
            <v>0</v>
          </cell>
          <cell r="AR105">
            <v>0</v>
          </cell>
          <cell r="AS105">
            <v>0</v>
          </cell>
          <cell r="AT105">
            <v>0</v>
          </cell>
          <cell r="BD105">
            <v>0</v>
          </cell>
          <cell r="BE105">
            <v>0</v>
          </cell>
          <cell r="BF105">
            <v>0</v>
          </cell>
        </row>
        <row r="106">
          <cell r="H106">
            <v>0</v>
          </cell>
          <cell r="I106">
            <v>0</v>
          </cell>
          <cell r="J106">
            <v>0</v>
          </cell>
          <cell r="T106">
            <v>0</v>
          </cell>
          <cell r="U106">
            <v>0</v>
          </cell>
          <cell r="V106">
            <v>0</v>
          </cell>
          <cell r="AF106">
            <v>0</v>
          </cell>
          <cell r="AG106">
            <v>387600</v>
          </cell>
          <cell r="AH106">
            <v>0</v>
          </cell>
          <cell r="AR106">
            <v>0</v>
          </cell>
          <cell r="AS106">
            <v>0</v>
          </cell>
          <cell r="AT106">
            <v>0</v>
          </cell>
          <cell r="BD106">
            <v>0</v>
          </cell>
          <cell r="BE106">
            <v>0</v>
          </cell>
          <cell r="BF106">
            <v>0</v>
          </cell>
        </row>
        <row r="107">
          <cell r="H107">
            <v>0</v>
          </cell>
          <cell r="I107">
            <v>0</v>
          </cell>
          <cell r="J107">
            <v>0</v>
          </cell>
          <cell r="T107">
            <v>0</v>
          </cell>
          <cell r="U107">
            <v>0</v>
          </cell>
          <cell r="V107">
            <v>0</v>
          </cell>
          <cell r="AF107">
            <v>0</v>
          </cell>
          <cell r="AG107">
            <v>410400</v>
          </cell>
          <cell r="AH107">
            <v>0</v>
          </cell>
          <cell r="AR107">
            <v>0</v>
          </cell>
          <cell r="AS107">
            <v>0</v>
          </cell>
          <cell r="AT107">
            <v>0</v>
          </cell>
          <cell r="BD107">
            <v>0</v>
          </cell>
          <cell r="BE107">
            <v>0</v>
          </cell>
          <cell r="BF107">
            <v>0</v>
          </cell>
        </row>
        <row r="109">
          <cell r="H109">
            <v>6773760</v>
          </cell>
          <cell r="I109">
            <v>804000</v>
          </cell>
          <cell r="J109">
            <v>0</v>
          </cell>
          <cell r="T109">
            <v>0</v>
          </cell>
          <cell r="U109">
            <v>0</v>
          </cell>
          <cell r="V109">
            <v>0</v>
          </cell>
          <cell r="AF109">
            <v>0</v>
          </cell>
          <cell r="AG109">
            <v>0</v>
          </cell>
          <cell r="AH109">
            <v>0</v>
          </cell>
          <cell r="AR109">
            <v>0</v>
          </cell>
          <cell r="AS109">
            <v>0</v>
          </cell>
          <cell r="AT109">
            <v>0</v>
          </cell>
          <cell r="BD109">
            <v>0</v>
          </cell>
          <cell r="BE109">
            <v>0</v>
          </cell>
          <cell r="BF109">
            <v>0</v>
          </cell>
        </row>
        <row r="110">
          <cell r="H110">
            <v>0</v>
          </cell>
          <cell r="I110">
            <v>7680000</v>
          </cell>
          <cell r="J110">
            <v>0</v>
          </cell>
          <cell r="T110">
            <v>0</v>
          </cell>
          <cell r="U110">
            <v>7680000</v>
          </cell>
          <cell r="V110">
            <v>0</v>
          </cell>
          <cell r="AF110">
            <v>0</v>
          </cell>
          <cell r="AG110">
            <v>7680000</v>
          </cell>
          <cell r="AH110">
            <v>0</v>
          </cell>
          <cell r="AR110">
            <v>0</v>
          </cell>
          <cell r="AS110">
            <v>7680000</v>
          </cell>
          <cell r="AT110">
            <v>0</v>
          </cell>
          <cell r="BD110">
            <v>0</v>
          </cell>
          <cell r="BE110">
            <v>7680000</v>
          </cell>
          <cell r="BF110">
            <v>0</v>
          </cell>
        </row>
        <row r="111">
          <cell r="H111">
            <v>39592</v>
          </cell>
          <cell r="I111">
            <v>216000</v>
          </cell>
          <cell r="J111">
            <v>0</v>
          </cell>
          <cell r="T111">
            <v>0</v>
          </cell>
          <cell r="U111">
            <v>0</v>
          </cell>
          <cell r="V111">
            <v>0</v>
          </cell>
          <cell r="AF111">
            <v>0</v>
          </cell>
          <cell r="AG111">
            <v>0</v>
          </cell>
          <cell r="AH111">
            <v>0</v>
          </cell>
          <cell r="AR111">
            <v>0</v>
          </cell>
          <cell r="AS111">
            <v>0</v>
          </cell>
          <cell r="AT111">
            <v>0</v>
          </cell>
          <cell r="BD111">
            <v>0</v>
          </cell>
          <cell r="BE111">
            <v>0</v>
          </cell>
          <cell r="BF111">
            <v>0</v>
          </cell>
        </row>
        <row r="112">
          <cell r="H112">
            <v>316736</v>
          </cell>
          <cell r="I112">
            <v>0</v>
          </cell>
          <cell r="J112">
            <v>0</v>
          </cell>
          <cell r="T112">
            <v>316736</v>
          </cell>
          <cell r="U112">
            <v>0</v>
          </cell>
          <cell r="V112">
            <v>0</v>
          </cell>
          <cell r="AF112">
            <v>316736</v>
          </cell>
          <cell r="AG112">
            <v>0</v>
          </cell>
          <cell r="AH112">
            <v>0</v>
          </cell>
          <cell r="AR112">
            <v>316736</v>
          </cell>
          <cell r="AS112">
            <v>0</v>
          </cell>
          <cell r="AT112">
            <v>0</v>
          </cell>
          <cell r="BD112">
            <v>316736</v>
          </cell>
          <cell r="BE112">
            <v>0</v>
          </cell>
          <cell r="BF112">
            <v>0</v>
          </cell>
        </row>
        <row r="113">
          <cell r="H113">
            <v>39592</v>
          </cell>
          <cell r="I113">
            <v>0</v>
          </cell>
          <cell r="J113">
            <v>0</v>
          </cell>
          <cell r="T113">
            <v>39592</v>
          </cell>
          <cell r="U113">
            <v>0</v>
          </cell>
          <cell r="V113">
            <v>0</v>
          </cell>
          <cell r="AF113">
            <v>39592</v>
          </cell>
          <cell r="AG113">
            <v>0</v>
          </cell>
          <cell r="AH113">
            <v>0</v>
          </cell>
          <cell r="AR113">
            <v>39592</v>
          </cell>
          <cell r="AS113">
            <v>0</v>
          </cell>
          <cell r="AT113">
            <v>0</v>
          </cell>
          <cell r="BD113">
            <v>39592</v>
          </cell>
          <cell r="BE113">
            <v>0</v>
          </cell>
          <cell r="BF113">
            <v>0</v>
          </cell>
        </row>
        <row r="114">
          <cell r="H114">
            <v>0</v>
          </cell>
          <cell r="I114">
            <v>376800</v>
          </cell>
          <cell r="J114">
            <v>0</v>
          </cell>
          <cell r="T114">
            <v>0</v>
          </cell>
          <cell r="U114">
            <v>376800</v>
          </cell>
          <cell r="V114">
            <v>0</v>
          </cell>
          <cell r="AF114">
            <v>0</v>
          </cell>
          <cell r="AG114">
            <v>376800</v>
          </cell>
          <cell r="AH114">
            <v>0</v>
          </cell>
          <cell r="AR114">
            <v>0</v>
          </cell>
          <cell r="AS114">
            <v>376800</v>
          </cell>
          <cell r="AT114">
            <v>0</v>
          </cell>
          <cell r="BD114">
            <v>0</v>
          </cell>
          <cell r="BE114">
            <v>376800</v>
          </cell>
          <cell r="BF114">
            <v>0</v>
          </cell>
        </row>
        <row r="115">
          <cell r="H115">
            <v>0</v>
          </cell>
          <cell r="I115">
            <v>0</v>
          </cell>
          <cell r="J115">
            <v>0</v>
          </cell>
          <cell r="T115">
            <v>0</v>
          </cell>
          <cell r="U115">
            <v>0</v>
          </cell>
          <cell r="V115">
            <v>0</v>
          </cell>
          <cell r="AF115">
            <v>0</v>
          </cell>
          <cell r="AG115">
            <v>0</v>
          </cell>
          <cell r="AH115">
            <v>0</v>
          </cell>
          <cell r="AR115">
            <v>0</v>
          </cell>
          <cell r="AS115">
            <v>0</v>
          </cell>
          <cell r="AT115">
            <v>0</v>
          </cell>
          <cell r="BD115">
            <v>0</v>
          </cell>
          <cell r="BE115">
            <v>6000000</v>
          </cell>
          <cell r="BF115">
            <v>0</v>
          </cell>
        </row>
        <row r="116">
          <cell r="H116">
            <v>361760</v>
          </cell>
          <cell r="I116">
            <v>0</v>
          </cell>
          <cell r="J116">
            <v>0</v>
          </cell>
          <cell r="T116">
            <v>0</v>
          </cell>
          <cell r="U116">
            <v>288000</v>
          </cell>
          <cell r="V116">
            <v>0</v>
          </cell>
          <cell r="AF116">
            <v>0</v>
          </cell>
          <cell r="AG116">
            <v>288000</v>
          </cell>
          <cell r="AH116">
            <v>0</v>
          </cell>
          <cell r="AR116">
            <v>0</v>
          </cell>
          <cell r="AS116">
            <v>288000</v>
          </cell>
          <cell r="AT116">
            <v>0</v>
          </cell>
          <cell r="BD116">
            <v>0</v>
          </cell>
          <cell r="BE116">
            <v>288000</v>
          </cell>
          <cell r="BF116">
            <v>0</v>
          </cell>
        </row>
        <row r="117">
          <cell r="H117">
            <v>361760</v>
          </cell>
          <cell r="I117">
            <v>0</v>
          </cell>
          <cell r="J117">
            <v>0</v>
          </cell>
          <cell r="T117">
            <v>871024</v>
          </cell>
          <cell r="U117">
            <v>0</v>
          </cell>
          <cell r="V117">
            <v>0</v>
          </cell>
          <cell r="AF117">
            <v>871024</v>
          </cell>
          <cell r="AG117">
            <v>0</v>
          </cell>
          <cell r="AH117">
            <v>0</v>
          </cell>
          <cell r="AR117">
            <v>871024</v>
          </cell>
          <cell r="AS117">
            <v>0</v>
          </cell>
          <cell r="AT117">
            <v>0</v>
          </cell>
          <cell r="BD117">
            <v>871024</v>
          </cell>
          <cell r="BE117">
            <v>0</v>
          </cell>
          <cell r="BF117">
            <v>0</v>
          </cell>
        </row>
        <row r="118">
          <cell r="H118">
            <v>0</v>
          </cell>
          <cell r="I118">
            <v>300000</v>
          </cell>
          <cell r="J118">
            <v>0</v>
          </cell>
          <cell r="T118">
            <v>0</v>
          </cell>
          <cell r="U118">
            <v>300000</v>
          </cell>
          <cell r="V118">
            <v>0</v>
          </cell>
          <cell r="AF118">
            <v>0</v>
          </cell>
          <cell r="AG118">
            <v>300000</v>
          </cell>
          <cell r="AH118">
            <v>0</v>
          </cell>
          <cell r="AR118">
            <v>0</v>
          </cell>
          <cell r="AS118">
            <v>300000</v>
          </cell>
          <cell r="AT118">
            <v>0</v>
          </cell>
          <cell r="BD118">
            <v>0</v>
          </cell>
          <cell r="BE118">
            <v>300000</v>
          </cell>
          <cell r="BF118">
            <v>0</v>
          </cell>
        </row>
        <row r="119">
          <cell r="H119">
            <v>0</v>
          </cell>
          <cell r="I119">
            <v>618000</v>
          </cell>
          <cell r="J119">
            <v>0</v>
          </cell>
          <cell r="T119">
            <v>0</v>
          </cell>
          <cell r="U119">
            <v>618000</v>
          </cell>
          <cell r="V119">
            <v>0</v>
          </cell>
          <cell r="AF119">
            <v>0</v>
          </cell>
          <cell r="AG119">
            <v>618000</v>
          </cell>
          <cell r="AH119">
            <v>0</v>
          </cell>
          <cell r="AR119">
            <v>0</v>
          </cell>
          <cell r="AS119">
            <v>618000</v>
          </cell>
          <cell r="AT119">
            <v>0</v>
          </cell>
          <cell r="BD119">
            <v>0</v>
          </cell>
          <cell r="BE119">
            <v>618000</v>
          </cell>
          <cell r="BF119">
            <v>0</v>
          </cell>
        </row>
        <row r="121">
          <cell r="H121">
            <v>723520</v>
          </cell>
          <cell r="I121">
            <v>0</v>
          </cell>
          <cell r="J121">
            <v>0</v>
          </cell>
          <cell r="T121">
            <v>0</v>
          </cell>
          <cell r="U121">
            <v>0</v>
          </cell>
          <cell r="V121">
            <v>0</v>
          </cell>
          <cell r="AF121">
            <v>0</v>
          </cell>
          <cell r="AG121">
            <v>0</v>
          </cell>
          <cell r="AH121">
            <v>0</v>
          </cell>
          <cell r="AR121">
            <v>0</v>
          </cell>
          <cell r="AS121">
            <v>0</v>
          </cell>
          <cell r="AT121">
            <v>0</v>
          </cell>
          <cell r="BD121">
            <v>0</v>
          </cell>
          <cell r="BE121">
            <v>0</v>
          </cell>
          <cell r="BF121">
            <v>0</v>
          </cell>
        </row>
        <row r="122">
          <cell r="H122">
            <v>0</v>
          </cell>
          <cell r="I122">
            <v>813600</v>
          </cell>
          <cell r="J122">
            <v>0</v>
          </cell>
          <cell r="T122">
            <v>0</v>
          </cell>
          <cell r="U122">
            <v>813600</v>
          </cell>
          <cell r="V122">
            <v>0</v>
          </cell>
          <cell r="AF122">
            <v>0</v>
          </cell>
          <cell r="AG122">
            <v>0</v>
          </cell>
          <cell r="AH122">
            <v>0</v>
          </cell>
          <cell r="AR122">
            <v>0</v>
          </cell>
          <cell r="AS122">
            <v>0</v>
          </cell>
          <cell r="AT122">
            <v>0</v>
          </cell>
          <cell r="BD122">
            <v>0</v>
          </cell>
          <cell r="BE122">
            <v>0</v>
          </cell>
          <cell r="BF122">
            <v>0</v>
          </cell>
        </row>
        <row r="123">
          <cell r="H123">
            <v>0</v>
          </cell>
          <cell r="I123">
            <v>0</v>
          </cell>
          <cell r="J123">
            <v>0</v>
          </cell>
          <cell r="T123">
            <v>949620</v>
          </cell>
          <cell r="U123">
            <v>0</v>
          </cell>
          <cell r="V123">
            <v>0</v>
          </cell>
          <cell r="AF123">
            <v>949620</v>
          </cell>
          <cell r="AG123">
            <v>0</v>
          </cell>
          <cell r="AH123">
            <v>0</v>
          </cell>
          <cell r="AR123">
            <v>0</v>
          </cell>
          <cell r="AS123">
            <v>0</v>
          </cell>
          <cell r="AT123">
            <v>0</v>
          </cell>
          <cell r="BD123">
            <v>0</v>
          </cell>
          <cell r="BE123">
            <v>0</v>
          </cell>
          <cell r="BF123">
            <v>0</v>
          </cell>
        </row>
        <row r="124">
          <cell r="H124">
            <v>0</v>
          </cell>
          <cell r="I124">
            <v>1500000</v>
          </cell>
          <cell r="J124">
            <v>0</v>
          </cell>
          <cell r="T124">
            <v>0</v>
          </cell>
          <cell r="U124">
            <v>1500000</v>
          </cell>
          <cell r="V124">
            <v>0</v>
          </cell>
          <cell r="AF124">
            <v>0</v>
          </cell>
          <cell r="AG124">
            <v>1500000</v>
          </cell>
          <cell r="AH124">
            <v>0</v>
          </cell>
          <cell r="AR124">
            <v>0</v>
          </cell>
          <cell r="AS124">
            <v>1500000</v>
          </cell>
          <cell r="AT124">
            <v>0</v>
          </cell>
          <cell r="BD124">
            <v>0</v>
          </cell>
          <cell r="BE124">
            <v>1500000</v>
          </cell>
          <cell r="BF124">
            <v>0</v>
          </cell>
        </row>
        <row r="125">
          <cell r="H125">
            <v>0</v>
          </cell>
          <cell r="I125">
            <v>0</v>
          </cell>
          <cell r="J125">
            <v>0</v>
          </cell>
          <cell r="T125">
            <v>112896</v>
          </cell>
          <cell r="U125">
            <v>0</v>
          </cell>
          <cell r="V125">
            <v>0</v>
          </cell>
          <cell r="AF125">
            <v>0</v>
          </cell>
          <cell r="AG125">
            <v>0</v>
          </cell>
          <cell r="AH125">
            <v>0</v>
          </cell>
          <cell r="AR125">
            <v>0</v>
          </cell>
          <cell r="AS125">
            <v>0</v>
          </cell>
          <cell r="AT125">
            <v>0</v>
          </cell>
          <cell r="BD125">
            <v>0</v>
          </cell>
          <cell r="BE125">
            <v>0</v>
          </cell>
          <cell r="BF125">
            <v>0</v>
          </cell>
        </row>
        <row r="126">
          <cell r="H126">
            <v>0</v>
          </cell>
          <cell r="I126">
            <v>271200</v>
          </cell>
          <cell r="J126">
            <v>0</v>
          </cell>
          <cell r="T126">
            <v>0</v>
          </cell>
          <cell r="U126">
            <v>271200</v>
          </cell>
          <cell r="V126">
            <v>0</v>
          </cell>
          <cell r="AF126">
            <v>0</v>
          </cell>
          <cell r="AG126">
            <v>0</v>
          </cell>
          <cell r="AH126">
            <v>0</v>
          </cell>
          <cell r="AR126">
            <v>0</v>
          </cell>
          <cell r="AS126">
            <v>0</v>
          </cell>
          <cell r="AT126">
            <v>0</v>
          </cell>
          <cell r="BD126">
            <v>0</v>
          </cell>
          <cell r="BE126">
            <v>0</v>
          </cell>
          <cell r="BF126">
            <v>0</v>
          </cell>
        </row>
        <row r="127">
          <cell r="H127">
            <v>723520</v>
          </cell>
          <cell r="I127">
            <v>0</v>
          </cell>
          <cell r="J127">
            <v>0</v>
          </cell>
          <cell r="T127">
            <v>0</v>
          </cell>
          <cell r="U127">
            <v>271200</v>
          </cell>
          <cell r="V127">
            <v>0</v>
          </cell>
          <cell r="AF127">
            <v>0</v>
          </cell>
          <cell r="AG127">
            <v>0</v>
          </cell>
          <cell r="AH127">
            <v>0</v>
          </cell>
          <cell r="AR127">
            <v>0</v>
          </cell>
          <cell r="AS127">
            <v>0</v>
          </cell>
          <cell r="AT127">
            <v>0</v>
          </cell>
          <cell r="BD127">
            <v>0</v>
          </cell>
          <cell r="BE127">
            <v>0</v>
          </cell>
          <cell r="BF127">
            <v>0</v>
          </cell>
        </row>
        <row r="128">
          <cell r="H128">
            <v>0</v>
          </cell>
          <cell r="I128">
            <v>0</v>
          </cell>
          <cell r="J128">
            <v>0</v>
          </cell>
          <cell r="T128">
            <v>0</v>
          </cell>
          <cell r="U128">
            <v>720000</v>
          </cell>
          <cell r="V128">
            <v>0</v>
          </cell>
          <cell r="AF128">
            <v>0</v>
          </cell>
          <cell r="AG128">
            <v>840000</v>
          </cell>
          <cell r="AH128">
            <v>0</v>
          </cell>
          <cell r="AR128">
            <v>0</v>
          </cell>
          <cell r="AS128">
            <v>0</v>
          </cell>
          <cell r="AT128">
            <v>0</v>
          </cell>
          <cell r="BD128">
            <v>0</v>
          </cell>
          <cell r="BE128">
            <v>0</v>
          </cell>
          <cell r="BF128">
            <v>0</v>
          </cell>
        </row>
        <row r="129">
          <cell r="H129">
            <v>0</v>
          </cell>
          <cell r="I129">
            <v>0</v>
          </cell>
          <cell r="J129">
            <v>0</v>
          </cell>
          <cell r="T129">
            <v>0</v>
          </cell>
          <cell r="U129">
            <v>0</v>
          </cell>
          <cell r="AF129">
            <v>112896</v>
          </cell>
          <cell r="AG129">
            <v>0</v>
          </cell>
          <cell r="AH129">
            <v>0</v>
          </cell>
          <cell r="AR129">
            <v>112896</v>
          </cell>
          <cell r="AS129">
            <v>120000</v>
          </cell>
          <cell r="AT129">
            <v>0</v>
          </cell>
          <cell r="BD129">
            <v>0</v>
          </cell>
          <cell r="BE129">
            <v>120000</v>
          </cell>
          <cell r="BF129">
            <v>0</v>
          </cell>
        </row>
        <row r="132">
          <cell r="H132">
            <v>112896</v>
          </cell>
          <cell r="I132">
            <v>0</v>
          </cell>
          <cell r="J132">
            <v>0</v>
          </cell>
          <cell r="T132">
            <v>112896</v>
          </cell>
          <cell r="U132">
            <v>0</v>
          </cell>
          <cell r="V132">
            <v>0</v>
          </cell>
          <cell r="AF132">
            <v>0</v>
          </cell>
          <cell r="AG132">
            <v>0</v>
          </cell>
          <cell r="AH132">
            <v>0</v>
          </cell>
          <cell r="AR132">
            <v>0</v>
          </cell>
          <cell r="AS132">
            <v>0</v>
          </cell>
          <cell r="AT132">
            <v>0</v>
          </cell>
          <cell r="BD132">
            <v>0</v>
          </cell>
          <cell r="BE132">
            <v>0</v>
          </cell>
          <cell r="BF132">
            <v>0</v>
          </cell>
        </row>
        <row r="133">
          <cell r="H133">
            <v>0</v>
          </cell>
          <cell r="I133">
            <v>0</v>
          </cell>
          <cell r="J133">
            <v>0</v>
          </cell>
          <cell r="T133">
            <v>0</v>
          </cell>
          <cell r="U133">
            <v>1142400</v>
          </cell>
          <cell r="V133">
            <v>0</v>
          </cell>
          <cell r="AF133">
            <v>0</v>
          </cell>
          <cell r="AG133">
            <v>1142400</v>
          </cell>
          <cell r="AH133">
            <v>0</v>
          </cell>
          <cell r="AR133">
            <v>0</v>
          </cell>
          <cell r="AS133">
            <v>0</v>
          </cell>
          <cell r="AT133">
            <v>0</v>
          </cell>
          <cell r="BD133">
            <v>0</v>
          </cell>
          <cell r="BE133">
            <v>0</v>
          </cell>
          <cell r="BF133">
            <v>0</v>
          </cell>
        </row>
        <row r="134">
          <cell r="H134">
            <v>0</v>
          </cell>
          <cell r="I134">
            <v>0</v>
          </cell>
          <cell r="J134">
            <v>0</v>
          </cell>
          <cell r="T134">
            <v>0</v>
          </cell>
          <cell r="U134">
            <v>1140000</v>
          </cell>
          <cell r="V134">
            <v>0</v>
          </cell>
          <cell r="AF134">
            <v>0</v>
          </cell>
          <cell r="AG134">
            <v>420000</v>
          </cell>
          <cell r="AH134">
            <v>0</v>
          </cell>
          <cell r="AR134">
            <v>0</v>
          </cell>
          <cell r="AS134">
            <v>0</v>
          </cell>
          <cell r="AT134">
            <v>0</v>
          </cell>
          <cell r="BD134">
            <v>0</v>
          </cell>
          <cell r="BE134">
            <v>0</v>
          </cell>
          <cell r="BF134">
            <v>0</v>
          </cell>
        </row>
        <row r="135">
          <cell r="H135">
            <v>0</v>
          </cell>
          <cell r="I135">
            <v>0</v>
          </cell>
          <cell r="J135">
            <v>0</v>
          </cell>
          <cell r="T135">
            <v>0</v>
          </cell>
          <cell r="U135">
            <v>480000</v>
          </cell>
          <cell r="V135">
            <v>0</v>
          </cell>
          <cell r="AF135">
            <v>0</v>
          </cell>
          <cell r="AG135">
            <v>480000</v>
          </cell>
          <cell r="AH135">
            <v>0</v>
          </cell>
          <cell r="AR135">
            <v>0</v>
          </cell>
          <cell r="AS135">
            <v>480000</v>
          </cell>
          <cell r="AT135">
            <v>0</v>
          </cell>
          <cell r="BD135">
            <v>0</v>
          </cell>
          <cell r="BE135">
            <v>480000</v>
          </cell>
          <cell r="BF135">
            <v>0</v>
          </cell>
        </row>
        <row r="136">
          <cell r="H136">
            <v>1900416</v>
          </cell>
          <cell r="I136">
            <v>0</v>
          </cell>
          <cell r="J136">
            <v>0</v>
          </cell>
          <cell r="T136">
            <v>1900416</v>
          </cell>
          <cell r="U136">
            <v>0</v>
          </cell>
          <cell r="V136">
            <v>0</v>
          </cell>
          <cell r="AF136">
            <v>1900416</v>
          </cell>
          <cell r="AG136">
            <v>0</v>
          </cell>
          <cell r="AH136">
            <v>0</v>
          </cell>
          <cell r="AR136">
            <v>1900416</v>
          </cell>
          <cell r="AS136">
            <v>0</v>
          </cell>
          <cell r="AT136">
            <v>0</v>
          </cell>
          <cell r="BD136">
            <v>1900416</v>
          </cell>
          <cell r="BE136">
            <v>0</v>
          </cell>
          <cell r="BF136">
            <v>0</v>
          </cell>
        </row>
        <row r="137">
          <cell r="H137">
            <v>180880</v>
          </cell>
          <cell r="I137">
            <v>554400</v>
          </cell>
          <cell r="J137">
            <v>0</v>
          </cell>
          <cell r="T137">
            <v>180880</v>
          </cell>
          <cell r="U137">
            <v>554400</v>
          </cell>
          <cell r="V137">
            <v>0</v>
          </cell>
          <cell r="AF137">
            <v>180880</v>
          </cell>
          <cell r="AG137">
            <v>0</v>
          </cell>
          <cell r="AH137">
            <v>0</v>
          </cell>
          <cell r="AR137">
            <v>180880</v>
          </cell>
          <cell r="AS137">
            <v>0</v>
          </cell>
          <cell r="AT137">
            <v>0</v>
          </cell>
          <cell r="BD137">
            <v>180880</v>
          </cell>
          <cell r="BE137">
            <v>0</v>
          </cell>
          <cell r="BF137">
            <v>0</v>
          </cell>
        </row>
        <row r="138">
          <cell r="H138">
            <v>1900416</v>
          </cell>
          <cell r="I138">
            <v>0</v>
          </cell>
          <cell r="J138">
            <v>0</v>
          </cell>
          <cell r="T138">
            <v>1900416</v>
          </cell>
          <cell r="U138">
            <v>0</v>
          </cell>
          <cell r="V138">
            <v>0</v>
          </cell>
          <cell r="AF138">
            <v>1900416</v>
          </cell>
          <cell r="AG138">
            <v>0</v>
          </cell>
          <cell r="AH138">
            <v>0</v>
          </cell>
          <cell r="AR138">
            <v>0</v>
          </cell>
          <cell r="AS138">
            <v>0</v>
          </cell>
          <cell r="AT138">
            <v>0</v>
          </cell>
          <cell r="BD138">
            <v>0</v>
          </cell>
          <cell r="BE138">
            <v>0</v>
          </cell>
          <cell r="BF138">
            <v>0</v>
          </cell>
        </row>
        <row r="139">
          <cell r="H139">
            <v>0</v>
          </cell>
          <cell r="I139">
            <v>0</v>
          </cell>
          <cell r="J139">
            <v>0</v>
          </cell>
          <cell r="T139">
            <v>0</v>
          </cell>
          <cell r="U139">
            <v>1120800</v>
          </cell>
          <cell r="V139">
            <v>0</v>
          </cell>
          <cell r="AF139">
            <v>0</v>
          </cell>
          <cell r="AG139">
            <v>1120800</v>
          </cell>
          <cell r="AH139">
            <v>0</v>
          </cell>
          <cell r="AR139">
            <v>0</v>
          </cell>
          <cell r="AS139">
            <v>0</v>
          </cell>
          <cell r="AT139">
            <v>0</v>
          </cell>
          <cell r="BD139">
            <v>0</v>
          </cell>
          <cell r="BE139">
            <v>0</v>
          </cell>
          <cell r="BF139">
            <v>0</v>
          </cell>
        </row>
        <row r="140">
          <cell r="H140">
            <v>0</v>
          </cell>
          <cell r="I140">
            <v>228000</v>
          </cell>
          <cell r="J140">
            <v>0</v>
          </cell>
          <cell r="T140">
            <v>0</v>
          </cell>
          <cell r="U140">
            <v>228000</v>
          </cell>
          <cell r="V140">
            <v>0</v>
          </cell>
          <cell r="AF140">
            <v>0</v>
          </cell>
          <cell r="AG140">
            <v>342000</v>
          </cell>
          <cell r="AH140">
            <v>0</v>
          </cell>
          <cell r="AR140">
            <v>0</v>
          </cell>
          <cell r="AS140">
            <v>0</v>
          </cell>
          <cell r="AT140">
            <v>0</v>
          </cell>
          <cell r="BD140">
            <v>0</v>
          </cell>
          <cell r="BE140">
            <v>0</v>
          </cell>
          <cell r="BF140">
            <v>0</v>
          </cell>
        </row>
        <row r="141">
          <cell r="H141">
            <v>0</v>
          </cell>
          <cell r="I141">
            <v>0</v>
          </cell>
          <cell r="J141">
            <v>0</v>
          </cell>
          <cell r="T141">
            <v>0</v>
          </cell>
          <cell r="U141">
            <v>0</v>
          </cell>
          <cell r="V141">
            <v>0</v>
          </cell>
          <cell r="AF141">
            <v>0</v>
          </cell>
          <cell r="AG141">
            <v>10200000</v>
          </cell>
          <cell r="AH141">
            <v>0</v>
          </cell>
          <cell r="AR141">
            <v>0</v>
          </cell>
          <cell r="AS141">
            <v>10200000</v>
          </cell>
          <cell r="AT141">
            <v>0</v>
          </cell>
          <cell r="BD141">
            <v>0</v>
          </cell>
          <cell r="BE141">
            <v>10200000</v>
          </cell>
          <cell r="BF141">
            <v>0</v>
          </cell>
        </row>
        <row r="142">
          <cell r="H142">
            <v>0</v>
          </cell>
          <cell r="I142">
            <v>20659590</v>
          </cell>
          <cell r="J142">
            <v>0</v>
          </cell>
          <cell r="T142">
            <v>0</v>
          </cell>
          <cell r="U142">
            <v>20659590</v>
          </cell>
          <cell r="V142">
            <v>0</v>
          </cell>
          <cell r="AF142">
            <v>0</v>
          </cell>
          <cell r="AG142">
            <v>20659590</v>
          </cell>
          <cell r="AH142">
            <v>0</v>
          </cell>
          <cell r="AR142">
            <v>0</v>
          </cell>
          <cell r="AS142">
            <v>20659590</v>
          </cell>
          <cell r="AT142">
            <v>0</v>
          </cell>
          <cell r="BD142">
            <v>0</v>
          </cell>
          <cell r="BE142">
            <v>20659590</v>
          </cell>
          <cell r="BF142">
            <v>0</v>
          </cell>
        </row>
        <row r="144">
          <cell r="H144">
            <v>197960</v>
          </cell>
          <cell r="I144">
            <v>0</v>
          </cell>
          <cell r="J144">
            <v>0</v>
          </cell>
          <cell r="T144">
            <v>197960</v>
          </cell>
          <cell r="U144">
            <v>570000</v>
          </cell>
          <cell r="V144">
            <v>0</v>
          </cell>
          <cell r="AF144">
            <v>197960</v>
          </cell>
          <cell r="AG144">
            <v>0</v>
          </cell>
          <cell r="AH144">
            <v>0</v>
          </cell>
          <cell r="AT144">
            <v>0</v>
          </cell>
          <cell r="BD144">
            <v>197960</v>
          </cell>
          <cell r="BE144">
            <v>0</v>
          </cell>
          <cell r="BF144">
            <v>0</v>
          </cell>
        </row>
        <row r="145">
          <cell r="H145">
            <v>0</v>
          </cell>
          <cell r="I145">
            <v>570000</v>
          </cell>
          <cell r="J145">
            <v>0</v>
          </cell>
          <cell r="T145">
            <v>0</v>
          </cell>
          <cell r="U145">
            <v>570000</v>
          </cell>
          <cell r="V145">
            <v>0</v>
          </cell>
          <cell r="AF145">
            <v>0</v>
          </cell>
          <cell r="AG145">
            <v>570000</v>
          </cell>
          <cell r="AH145">
            <v>0</v>
          </cell>
          <cell r="AR145">
            <v>0</v>
          </cell>
          <cell r="AS145">
            <v>0</v>
          </cell>
          <cell r="AT145">
            <v>0</v>
          </cell>
          <cell r="AV145">
            <v>0</v>
          </cell>
          <cell r="BD145">
            <v>0</v>
          </cell>
          <cell r="BE145">
            <v>0</v>
          </cell>
          <cell r="BF145">
            <v>0</v>
          </cell>
          <cell r="BH145">
            <v>0</v>
          </cell>
        </row>
        <row r="146">
          <cell r="H146">
            <v>0</v>
          </cell>
          <cell r="I146">
            <v>1026000</v>
          </cell>
          <cell r="J146">
            <v>0</v>
          </cell>
          <cell r="T146">
            <v>5701248</v>
          </cell>
          <cell r="U146">
            <v>1231476</v>
          </cell>
          <cell r="V146">
            <v>0</v>
          </cell>
          <cell r="AF146">
            <v>7601664</v>
          </cell>
          <cell r="AG146">
            <v>1641960</v>
          </cell>
          <cell r="AH146">
            <v>0</v>
          </cell>
          <cell r="AR146">
            <v>9502080</v>
          </cell>
          <cell r="AS146">
            <v>2052480</v>
          </cell>
          <cell r="AT146">
            <v>0</v>
          </cell>
          <cell r="BD146">
            <v>11402496</v>
          </cell>
          <cell r="BE146">
            <v>2463000</v>
          </cell>
          <cell r="BF146">
            <v>0</v>
          </cell>
        </row>
        <row r="147">
          <cell r="H147">
            <v>0</v>
          </cell>
          <cell r="I147">
            <v>1320000</v>
          </cell>
          <cell r="J147">
            <v>0</v>
          </cell>
          <cell r="T147">
            <v>0</v>
          </cell>
          <cell r="U147">
            <v>1320000</v>
          </cell>
          <cell r="V147">
            <v>0</v>
          </cell>
          <cell r="AF147">
            <v>0</v>
          </cell>
          <cell r="AG147">
            <v>1320000</v>
          </cell>
          <cell r="AH147">
            <v>0</v>
          </cell>
          <cell r="AR147">
            <v>0</v>
          </cell>
          <cell r="AS147">
            <v>1320000</v>
          </cell>
          <cell r="AT147">
            <v>0</v>
          </cell>
          <cell r="BD147">
            <v>0</v>
          </cell>
          <cell r="BE147">
            <v>1320000</v>
          </cell>
          <cell r="BF147">
            <v>0</v>
          </cell>
        </row>
        <row r="148">
          <cell r="H148">
            <v>0</v>
          </cell>
          <cell r="I148">
            <v>300000</v>
          </cell>
          <cell r="J148">
            <v>0</v>
          </cell>
          <cell r="T148">
            <v>0</v>
          </cell>
          <cell r="U148">
            <v>300000</v>
          </cell>
          <cell r="V148">
            <v>0</v>
          </cell>
          <cell r="AF148">
            <v>0</v>
          </cell>
          <cell r="AG148">
            <v>300000</v>
          </cell>
          <cell r="AH148">
            <v>0</v>
          </cell>
          <cell r="AR148">
            <v>0</v>
          </cell>
          <cell r="AS148">
            <v>300000</v>
          </cell>
          <cell r="AT148">
            <v>0</v>
          </cell>
          <cell r="BD148">
            <v>0</v>
          </cell>
          <cell r="BE148">
            <v>300000</v>
          </cell>
          <cell r="BF148">
            <v>0</v>
          </cell>
        </row>
        <row r="149">
          <cell r="H149">
            <v>0</v>
          </cell>
          <cell r="I149">
            <v>0</v>
          </cell>
          <cell r="J149">
            <v>0</v>
          </cell>
          <cell r="T149">
            <v>0</v>
          </cell>
          <cell r="U149">
            <v>0</v>
          </cell>
          <cell r="V149">
            <v>0</v>
          </cell>
          <cell r="AF149">
            <v>0</v>
          </cell>
          <cell r="AG149">
            <v>1423200</v>
          </cell>
          <cell r="AH149">
            <v>0</v>
          </cell>
          <cell r="AR149">
            <v>0</v>
          </cell>
          <cell r="AS149">
            <v>1423200</v>
          </cell>
          <cell r="AT149">
            <v>0</v>
          </cell>
          <cell r="BD149">
            <v>0</v>
          </cell>
          <cell r="BE149">
            <v>1423200</v>
          </cell>
          <cell r="BF149">
            <v>0</v>
          </cell>
        </row>
        <row r="152">
          <cell r="H152">
            <v>0</v>
          </cell>
          <cell r="I152">
            <v>633600</v>
          </cell>
          <cell r="T152">
            <v>0</v>
          </cell>
          <cell r="U152">
            <v>950400</v>
          </cell>
          <cell r="V152">
            <v>0</v>
          </cell>
          <cell r="AF152">
            <v>0</v>
          </cell>
          <cell r="AG152">
            <v>0</v>
          </cell>
          <cell r="AH152">
            <v>0</v>
          </cell>
          <cell r="AR152">
            <v>0</v>
          </cell>
          <cell r="AS152">
            <v>0</v>
          </cell>
          <cell r="AT152">
            <v>0</v>
          </cell>
          <cell r="BD152">
            <v>0</v>
          </cell>
          <cell r="BE152">
            <v>0</v>
          </cell>
          <cell r="BF152">
            <v>0</v>
          </cell>
        </row>
        <row r="153">
          <cell r="H153">
            <v>0</v>
          </cell>
          <cell r="I153">
            <v>0</v>
          </cell>
          <cell r="J153">
            <v>0</v>
          </cell>
          <cell r="T153">
            <v>0</v>
          </cell>
          <cell r="U153">
            <v>0</v>
          </cell>
          <cell r="V153">
            <v>0</v>
          </cell>
          <cell r="AF153">
            <v>0</v>
          </cell>
          <cell r="AG153">
            <v>228000</v>
          </cell>
          <cell r="AH153">
            <v>0</v>
          </cell>
          <cell r="AR153">
            <v>0</v>
          </cell>
          <cell r="AS153">
            <v>228000</v>
          </cell>
          <cell r="AT153">
            <v>0</v>
          </cell>
          <cell r="BD153">
            <v>0</v>
          </cell>
          <cell r="BE153">
            <v>228000</v>
          </cell>
          <cell r="BF153">
            <v>0</v>
          </cell>
        </row>
        <row r="154">
          <cell r="H154">
            <v>0</v>
          </cell>
          <cell r="I154">
            <v>1398000</v>
          </cell>
          <cell r="J154">
            <v>0</v>
          </cell>
          <cell r="T154">
            <v>0</v>
          </cell>
          <cell r="U154">
            <v>1398000</v>
          </cell>
          <cell r="V154">
            <v>0</v>
          </cell>
          <cell r="AF154">
            <v>0</v>
          </cell>
          <cell r="AG154">
            <v>0</v>
          </cell>
          <cell r="AH154">
            <v>0</v>
          </cell>
          <cell r="AR154">
            <v>0</v>
          </cell>
          <cell r="AS154">
            <v>0</v>
          </cell>
          <cell r="AT154">
            <v>0</v>
          </cell>
          <cell r="BD154">
            <v>0</v>
          </cell>
          <cell r="BE154">
            <v>0</v>
          </cell>
          <cell r="BF154">
            <v>0</v>
          </cell>
        </row>
        <row r="155">
          <cell r="H155">
            <v>0</v>
          </cell>
          <cell r="I155">
            <v>0</v>
          </cell>
          <cell r="J155">
            <v>0</v>
          </cell>
          <cell r="T155">
            <v>31673.599999999999</v>
          </cell>
          <cell r="U155">
            <v>174000</v>
          </cell>
          <cell r="V155">
            <v>0</v>
          </cell>
          <cell r="AF155">
            <v>31673.599999999999</v>
          </cell>
          <cell r="AG155">
            <v>174000</v>
          </cell>
          <cell r="AH155">
            <v>0</v>
          </cell>
          <cell r="AR155">
            <v>31673.599999999999</v>
          </cell>
          <cell r="AS155">
            <v>174000</v>
          </cell>
          <cell r="AT155">
            <v>0</v>
          </cell>
          <cell r="BD155">
            <v>31673.599999999999</v>
          </cell>
          <cell r="BE155">
            <v>174000</v>
          </cell>
          <cell r="BF155">
            <v>0</v>
          </cell>
        </row>
        <row r="156">
          <cell r="H156">
            <v>0</v>
          </cell>
          <cell r="I156">
            <v>570000</v>
          </cell>
          <cell r="J156">
            <v>0</v>
          </cell>
          <cell r="T156">
            <v>0</v>
          </cell>
          <cell r="U156">
            <v>570000</v>
          </cell>
          <cell r="V156">
            <v>0</v>
          </cell>
          <cell r="AF156">
            <v>0</v>
          </cell>
          <cell r="AG156">
            <v>0</v>
          </cell>
          <cell r="AH156">
            <v>0</v>
          </cell>
          <cell r="AR156">
            <v>0</v>
          </cell>
          <cell r="AS156">
            <v>0</v>
          </cell>
          <cell r="AT156">
            <v>0</v>
          </cell>
          <cell r="BD156">
            <v>0</v>
          </cell>
          <cell r="BE156">
            <v>0</v>
          </cell>
          <cell r="BF156">
            <v>0</v>
          </cell>
        </row>
        <row r="157">
          <cell r="J157">
            <v>0</v>
          </cell>
        </row>
        <row r="158">
          <cell r="H158">
            <v>0</v>
          </cell>
          <cell r="I158">
            <v>0</v>
          </cell>
          <cell r="J158">
            <v>0</v>
          </cell>
          <cell r="T158">
            <v>0</v>
          </cell>
          <cell r="U158">
            <v>798000</v>
          </cell>
          <cell r="V158">
            <v>0</v>
          </cell>
          <cell r="AF158">
            <v>0</v>
          </cell>
          <cell r="AG158">
            <v>798000</v>
          </cell>
          <cell r="AH158">
            <v>0</v>
          </cell>
          <cell r="AR158">
            <v>0</v>
          </cell>
          <cell r="AS158">
            <v>0</v>
          </cell>
          <cell r="AT158">
            <v>0</v>
          </cell>
          <cell r="BD158">
            <v>0</v>
          </cell>
          <cell r="BE158">
            <v>0</v>
          </cell>
          <cell r="BF158">
            <v>0</v>
          </cell>
        </row>
        <row r="159">
          <cell r="H159">
            <v>0</v>
          </cell>
          <cell r="I159">
            <v>0</v>
          </cell>
          <cell r="J159">
            <v>0</v>
          </cell>
          <cell r="T159">
            <v>316736</v>
          </cell>
          <cell r="U159">
            <v>38400</v>
          </cell>
          <cell r="V159">
            <v>0</v>
          </cell>
          <cell r="AF159">
            <v>316736</v>
          </cell>
          <cell r="AG159">
            <v>38400</v>
          </cell>
          <cell r="AH159">
            <v>0</v>
          </cell>
          <cell r="AR159">
            <v>316736</v>
          </cell>
          <cell r="AS159">
            <v>38400</v>
          </cell>
          <cell r="AT159">
            <v>0</v>
          </cell>
          <cell r="BD159">
            <v>316736</v>
          </cell>
          <cell r="BE159">
            <v>38400</v>
          </cell>
          <cell r="BF159">
            <v>0</v>
          </cell>
        </row>
        <row r="160">
          <cell r="H160">
            <v>1085280</v>
          </cell>
          <cell r="I160">
            <v>360000</v>
          </cell>
          <cell r="J160">
            <v>0</v>
          </cell>
          <cell r="T160">
            <v>1085280</v>
          </cell>
          <cell r="U160">
            <v>360000</v>
          </cell>
          <cell r="V160">
            <v>0</v>
          </cell>
          <cell r="AF160">
            <v>0</v>
          </cell>
          <cell r="AG160">
            <v>0</v>
          </cell>
          <cell r="AH160">
            <v>0</v>
          </cell>
          <cell r="AR160">
            <v>0</v>
          </cell>
          <cell r="AS160">
            <v>0</v>
          </cell>
          <cell r="AT160">
            <v>0</v>
          </cell>
          <cell r="BD160">
            <v>0</v>
          </cell>
          <cell r="BE160">
            <v>0</v>
          </cell>
          <cell r="BF160">
            <v>0</v>
          </cell>
        </row>
        <row r="161">
          <cell r="H161">
            <v>4341120</v>
          </cell>
          <cell r="I161">
            <v>1056000</v>
          </cell>
          <cell r="J161">
            <v>0</v>
          </cell>
          <cell r="T161">
            <v>4341120</v>
          </cell>
          <cell r="U161">
            <v>1056000</v>
          </cell>
          <cell r="V161">
            <v>0</v>
          </cell>
          <cell r="AF161">
            <v>0</v>
          </cell>
          <cell r="AG161">
            <v>0</v>
          </cell>
          <cell r="AH161">
            <v>0</v>
          </cell>
          <cell r="AR161">
            <v>0</v>
          </cell>
          <cell r="AS161">
            <v>0</v>
          </cell>
          <cell r="AT161">
            <v>0</v>
          </cell>
          <cell r="BD161">
            <v>0</v>
          </cell>
          <cell r="BE161">
            <v>0</v>
          </cell>
          <cell r="BF161">
            <v>0</v>
          </cell>
        </row>
        <row r="162">
          <cell r="H162">
            <v>0</v>
          </cell>
          <cell r="I162">
            <v>876000</v>
          </cell>
          <cell r="J162">
            <v>0</v>
          </cell>
          <cell r="T162">
            <v>0</v>
          </cell>
          <cell r="U162">
            <v>876000</v>
          </cell>
          <cell r="V162">
            <v>0</v>
          </cell>
          <cell r="AF162">
            <v>0</v>
          </cell>
          <cell r="AG162">
            <v>876000</v>
          </cell>
          <cell r="AH162">
            <v>0</v>
          </cell>
          <cell r="AR162">
            <v>0</v>
          </cell>
          <cell r="AS162">
            <v>0</v>
          </cell>
          <cell r="AT162">
            <v>0</v>
          </cell>
          <cell r="BD162">
            <v>0</v>
          </cell>
          <cell r="BE162">
            <v>0</v>
          </cell>
          <cell r="BF162">
            <v>0</v>
          </cell>
        </row>
        <row r="163">
          <cell r="H163">
            <v>3161088</v>
          </cell>
          <cell r="I163">
            <v>720000</v>
          </cell>
          <cell r="J163">
            <v>0</v>
          </cell>
          <cell r="T163">
            <v>3161088</v>
          </cell>
          <cell r="U163">
            <v>720000</v>
          </cell>
          <cell r="V163">
            <v>0</v>
          </cell>
          <cell r="AF163">
            <v>0</v>
          </cell>
          <cell r="AG163">
            <v>0</v>
          </cell>
          <cell r="AH163">
            <v>0</v>
          </cell>
          <cell r="AR163">
            <v>0</v>
          </cell>
          <cell r="AS163">
            <v>0</v>
          </cell>
          <cell r="AT163">
            <v>0</v>
          </cell>
          <cell r="BD163">
            <v>0</v>
          </cell>
          <cell r="BE163">
            <v>0</v>
          </cell>
          <cell r="BF163">
            <v>0</v>
          </cell>
        </row>
        <row r="164">
          <cell r="H164">
            <v>0</v>
          </cell>
          <cell r="I164">
            <v>0</v>
          </cell>
          <cell r="J164">
            <v>0</v>
          </cell>
          <cell r="T164">
            <v>0</v>
          </cell>
          <cell r="U164">
            <v>570000</v>
          </cell>
          <cell r="V164">
            <v>0</v>
          </cell>
          <cell r="AF164">
            <v>0</v>
          </cell>
          <cell r="AG164">
            <v>0</v>
          </cell>
          <cell r="AH164">
            <v>0</v>
          </cell>
          <cell r="AR164">
            <v>0</v>
          </cell>
          <cell r="AS164">
            <v>0</v>
          </cell>
          <cell r="AT164">
            <v>0</v>
          </cell>
          <cell r="BD164">
            <v>0</v>
          </cell>
          <cell r="BE164">
            <v>0</v>
          </cell>
          <cell r="BF164">
            <v>0</v>
          </cell>
        </row>
        <row r="166">
          <cell r="H166">
            <v>0</v>
          </cell>
          <cell r="I166">
            <v>468000</v>
          </cell>
          <cell r="J166">
            <v>0</v>
          </cell>
          <cell r="T166">
            <v>0</v>
          </cell>
          <cell r="U166">
            <v>468000</v>
          </cell>
          <cell r="V166">
            <v>0</v>
          </cell>
          <cell r="AF166">
            <v>0</v>
          </cell>
          <cell r="AG166">
            <v>468000</v>
          </cell>
          <cell r="AH166">
            <v>0</v>
          </cell>
          <cell r="AR166">
            <v>0</v>
          </cell>
          <cell r="AS166">
            <v>0</v>
          </cell>
          <cell r="AT166">
            <v>0</v>
          </cell>
          <cell r="BD166">
            <v>0</v>
          </cell>
          <cell r="BE166">
            <v>0</v>
          </cell>
          <cell r="BF166">
            <v>0</v>
          </cell>
        </row>
        <row r="167">
          <cell r="H167">
            <v>158368</v>
          </cell>
          <cell r="I167">
            <v>36000</v>
          </cell>
          <cell r="J167">
            <v>0</v>
          </cell>
          <cell r="T167">
            <v>0</v>
          </cell>
          <cell r="U167">
            <v>0</v>
          </cell>
          <cell r="V167">
            <v>0</v>
          </cell>
          <cell r="AF167">
            <v>0</v>
          </cell>
          <cell r="AG167">
            <v>0</v>
          </cell>
          <cell r="AH167">
            <v>0</v>
          </cell>
          <cell r="AR167">
            <v>0</v>
          </cell>
          <cell r="AS167">
            <v>0</v>
          </cell>
          <cell r="AT167">
            <v>0</v>
          </cell>
          <cell r="BD167">
            <v>0</v>
          </cell>
          <cell r="BE167">
            <v>0</v>
          </cell>
          <cell r="BF167">
            <v>0</v>
          </cell>
        </row>
        <row r="168">
          <cell r="H168">
            <v>0</v>
          </cell>
          <cell r="I168">
            <v>0</v>
          </cell>
          <cell r="J168">
            <v>0</v>
          </cell>
          <cell r="T168">
            <v>0</v>
          </cell>
          <cell r="U168">
            <v>12000000</v>
          </cell>
          <cell r="V168">
            <v>0</v>
          </cell>
          <cell r="AF168">
            <v>0</v>
          </cell>
          <cell r="AG168">
            <v>12000000</v>
          </cell>
          <cell r="AH168">
            <v>0</v>
          </cell>
          <cell r="AR168">
            <v>0</v>
          </cell>
          <cell r="AS168">
            <v>12000000</v>
          </cell>
          <cell r="AT168">
            <v>0</v>
          </cell>
          <cell r="BD168">
            <v>0</v>
          </cell>
          <cell r="BE168">
            <v>12000000</v>
          </cell>
          <cell r="BF168">
            <v>0</v>
          </cell>
        </row>
        <row r="169">
          <cell r="H169">
            <v>0</v>
          </cell>
          <cell r="I169">
            <v>0</v>
          </cell>
          <cell r="J169">
            <v>0</v>
          </cell>
          <cell r="T169">
            <v>0</v>
          </cell>
          <cell r="U169">
            <v>6000000</v>
          </cell>
          <cell r="V169">
            <v>0</v>
          </cell>
          <cell r="AF169">
            <v>0</v>
          </cell>
          <cell r="AG169">
            <v>6000000</v>
          </cell>
          <cell r="AH169">
            <v>0</v>
          </cell>
          <cell r="AR169">
            <v>0</v>
          </cell>
          <cell r="AS169">
            <v>6000000</v>
          </cell>
          <cell r="AT169">
            <v>0</v>
          </cell>
          <cell r="BD169">
            <v>0</v>
          </cell>
          <cell r="BE169">
            <v>6000000</v>
          </cell>
          <cell r="BF169">
            <v>0</v>
          </cell>
        </row>
        <row r="170">
          <cell r="H170">
            <v>0</v>
          </cell>
          <cell r="I170">
            <v>0</v>
          </cell>
          <cell r="J170">
            <v>0</v>
          </cell>
          <cell r="T170">
            <v>361760</v>
          </cell>
          <cell r="U170">
            <v>0</v>
          </cell>
          <cell r="V170">
            <v>0</v>
          </cell>
          <cell r="AF170">
            <v>361760</v>
          </cell>
          <cell r="AG170">
            <v>0</v>
          </cell>
          <cell r="AH170">
            <v>0</v>
          </cell>
          <cell r="AR170">
            <v>361760</v>
          </cell>
          <cell r="AS170">
            <v>0</v>
          </cell>
          <cell r="AT170">
            <v>0</v>
          </cell>
          <cell r="BD170">
            <v>361760</v>
          </cell>
          <cell r="BE170">
            <v>0</v>
          </cell>
          <cell r="BF170">
            <v>0</v>
          </cell>
        </row>
        <row r="171">
          <cell r="H171">
            <v>1524096</v>
          </cell>
          <cell r="I171">
            <v>0</v>
          </cell>
          <cell r="J171">
            <v>0</v>
          </cell>
          <cell r="T171">
            <v>1524096</v>
          </cell>
          <cell r="U171">
            <v>0</v>
          </cell>
          <cell r="V171">
            <v>0</v>
          </cell>
          <cell r="AF171">
            <v>1524096</v>
          </cell>
          <cell r="AG171">
            <v>0</v>
          </cell>
          <cell r="AH171">
            <v>0</v>
          </cell>
          <cell r="AR171">
            <v>1524096</v>
          </cell>
          <cell r="AS171">
            <v>0</v>
          </cell>
          <cell r="AT171">
            <v>0</v>
          </cell>
          <cell r="BD171">
            <v>1524096</v>
          </cell>
          <cell r="BE171">
            <v>0</v>
          </cell>
          <cell r="BF171">
            <v>0</v>
          </cell>
        </row>
        <row r="172">
          <cell r="H172">
            <v>0</v>
          </cell>
          <cell r="I172">
            <v>0</v>
          </cell>
          <cell r="J172">
            <v>0</v>
          </cell>
          <cell r="T172">
            <v>0</v>
          </cell>
          <cell r="U172">
            <v>1120800</v>
          </cell>
          <cell r="V172">
            <v>0</v>
          </cell>
          <cell r="AF172">
            <v>0</v>
          </cell>
          <cell r="AG172">
            <v>456000</v>
          </cell>
          <cell r="AH172">
            <v>0</v>
          </cell>
          <cell r="AR172">
            <v>0</v>
          </cell>
          <cell r="AS172">
            <v>0</v>
          </cell>
          <cell r="AT172">
            <v>0</v>
          </cell>
          <cell r="BD172">
            <v>0</v>
          </cell>
          <cell r="BE172">
            <v>0</v>
          </cell>
          <cell r="BF172">
            <v>0</v>
          </cell>
        </row>
        <row r="173">
          <cell r="H173">
            <v>225792</v>
          </cell>
          <cell r="I173">
            <v>0</v>
          </cell>
          <cell r="J173">
            <v>0</v>
          </cell>
          <cell r="T173">
            <v>225792</v>
          </cell>
          <cell r="U173">
            <v>0</v>
          </cell>
          <cell r="V173">
            <v>0</v>
          </cell>
          <cell r="AF173">
            <v>0</v>
          </cell>
          <cell r="AG173">
            <v>0</v>
          </cell>
          <cell r="AH173">
            <v>0</v>
          </cell>
          <cell r="AR173">
            <v>0</v>
          </cell>
          <cell r="AS173">
            <v>0</v>
          </cell>
          <cell r="AT173">
            <v>0</v>
          </cell>
          <cell r="BD173">
            <v>0</v>
          </cell>
          <cell r="BE173">
            <v>0</v>
          </cell>
          <cell r="BF173">
            <v>0</v>
          </cell>
        </row>
        <row r="176">
          <cell r="H176">
            <v>2822400</v>
          </cell>
          <cell r="I176">
            <v>60000</v>
          </cell>
          <cell r="J176">
            <v>0</v>
          </cell>
          <cell r="T176">
            <v>2257920</v>
          </cell>
          <cell r="U176">
            <v>60000</v>
          </cell>
          <cell r="V176">
            <v>0</v>
          </cell>
          <cell r="AF176">
            <v>0</v>
          </cell>
          <cell r="AG176">
            <v>0</v>
          </cell>
          <cell r="AH176">
            <v>0</v>
          </cell>
          <cell r="AR176">
            <v>0</v>
          </cell>
          <cell r="AS176">
            <v>0</v>
          </cell>
          <cell r="AT176">
            <v>0</v>
          </cell>
          <cell r="BD176">
            <v>0</v>
          </cell>
          <cell r="BE176">
            <v>0</v>
          </cell>
          <cell r="BF176">
            <v>0</v>
          </cell>
        </row>
        <row r="177">
          <cell r="H177">
            <v>1085280</v>
          </cell>
          <cell r="I177">
            <v>24000</v>
          </cell>
          <cell r="J177">
            <v>0</v>
          </cell>
          <cell r="T177">
            <v>1085280</v>
          </cell>
          <cell r="U177">
            <v>24000</v>
          </cell>
          <cell r="V177">
            <v>0</v>
          </cell>
          <cell r="AF177">
            <v>1085280</v>
          </cell>
          <cell r="AG177">
            <v>24000</v>
          </cell>
          <cell r="AH177">
            <v>0</v>
          </cell>
          <cell r="AR177">
            <v>1085280</v>
          </cell>
          <cell r="AS177">
            <v>24000</v>
          </cell>
          <cell r="AT177">
            <v>0</v>
          </cell>
          <cell r="BD177">
            <v>1085280</v>
          </cell>
          <cell r="BE177">
            <v>24000</v>
          </cell>
          <cell r="BF177">
            <v>0</v>
          </cell>
        </row>
        <row r="178">
          <cell r="H178">
            <v>0</v>
          </cell>
          <cell r="I178">
            <v>0</v>
          </cell>
          <cell r="J178">
            <v>0</v>
          </cell>
          <cell r="T178">
            <v>0</v>
          </cell>
          <cell r="U178">
            <v>576000</v>
          </cell>
          <cell r="V178">
            <v>0</v>
          </cell>
          <cell r="AF178">
            <v>0</v>
          </cell>
          <cell r="AG178">
            <v>576000</v>
          </cell>
          <cell r="AH178">
            <v>0</v>
          </cell>
          <cell r="AR178">
            <v>0</v>
          </cell>
          <cell r="AS178">
            <v>0</v>
          </cell>
          <cell r="AT178">
            <v>0</v>
          </cell>
          <cell r="BD178">
            <v>0</v>
          </cell>
          <cell r="BE178">
            <v>0</v>
          </cell>
          <cell r="BF178">
            <v>0</v>
          </cell>
        </row>
        <row r="179">
          <cell r="H179">
            <v>0</v>
          </cell>
          <cell r="I179">
            <v>0</v>
          </cell>
          <cell r="J179">
            <v>0</v>
          </cell>
          <cell r="T179">
            <v>0</v>
          </cell>
          <cell r="U179">
            <v>0</v>
          </cell>
          <cell r="V179">
            <v>0</v>
          </cell>
          <cell r="AF179">
            <v>0</v>
          </cell>
          <cell r="AG179">
            <v>570000</v>
          </cell>
          <cell r="AH179">
            <v>0</v>
          </cell>
          <cell r="AR179">
            <v>0</v>
          </cell>
          <cell r="AS179">
            <v>0</v>
          </cell>
          <cell r="AT179">
            <v>0</v>
          </cell>
          <cell r="BD179">
            <v>0</v>
          </cell>
          <cell r="BE179">
            <v>0</v>
          </cell>
          <cell r="BF179">
            <v>0</v>
          </cell>
        </row>
        <row r="180">
          <cell r="H180">
            <v>0</v>
          </cell>
          <cell r="I180">
            <v>0</v>
          </cell>
          <cell r="J180">
            <v>0</v>
          </cell>
          <cell r="T180">
            <v>0</v>
          </cell>
          <cell r="U180">
            <v>0</v>
          </cell>
          <cell r="V180">
            <v>0</v>
          </cell>
          <cell r="AF180">
            <v>0</v>
          </cell>
          <cell r="AG180">
            <v>0</v>
          </cell>
          <cell r="AH180">
            <v>0</v>
          </cell>
          <cell r="AR180">
            <v>0</v>
          </cell>
          <cell r="AS180">
            <v>0</v>
          </cell>
          <cell r="AT180">
            <v>0</v>
          </cell>
          <cell r="BD180">
            <v>3800832</v>
          </cell>
          <cell r="BE180">
            <v>1740000</v>
          </cell>
          <cell r="BF180">
            <v>11500000</v>
          </cell>
        </row>
        <row r="181">
          <cell r="H181">
            <v>0</v>
          </cell>
          <cell r="I181">
            <v>0</v>
          </cell>
          <cell r="J181">
            <v>0</v>
          </cell>
          <cell r="T181">
            <v>0</v>
          </cell>
          <cell r="U181">
            <v>0</v>
          </cell>
          <cell r="V181">
            <v>0</v>
          </cell>
          <cell r="AF181">
            <v>0</v>
          </cell>
          <cell r="AG181">
            <v>0</v>
          </cell>
          <cell r="AH181">
            <v>0</v>
          </cell>
          <cell r="AR181">
            <v>0</v>
          </cell>
          <cell r="AS181">
            <v>0</v>
          </cell>
          <cell r="AT181">
            <v>0</v>
          </cell>
          <cell r="BD181">
            <v>2261000</v>
          </cell>
          <cell r="BE181">
            <v>60000</v>
          </cell>
          <cell r="BF181">
            <v>0</v>
          </cell>
        </row>
        <row r="182">
          <cell r="H182">
            <v>0</v>
          </cell>
          <cell r="I182">
            <v>0</v>
          </cell>
          <cell r="J182">
            <v>0</v>
          </cell>
          <cell r="T182">
            <v>0</v>
          </cell>
          <cell r="U182">
            <v>0</v>
          </cell>
          <cell r="V182">
            <v>0</v>
          </cell>
          <cell r="AF182">
            <v>0</v>
          </cell>
          <cell r="AG182">
            <v>588000</v>
          </cell>
          <cell r="AH182">
            <v>0</v>
          </cell>
          <cell r="AR182">
            <v>0</v>
          </cell>
          <cell r="AS182">
            <v>588000</v>
          </cell>
          <cell r="AT182">
            <v>0</v>
          </cell>
          <cell r="BD182">
            <v>0</v>
          </cell>
          <cell r="BE182">
            <v>0</v>
          </cell>
          <cell r="BF182">
            <v>0</v>
          </cell>
        </row>
        <row r="184">
          <cell r="H184">
            <v>0</v>
          </cell>
          <cell r="I184">
            <v>0</v>
          </cell>
          <cell r="J184">
            <v>0</v>
          </cell>
          <cell r="T184">
            <v>0</v>
          </cell>
          <cell r="U184">
            <v>0</v>
          </cell>
          <cell r="V184">
            <v>0</v>
          </cell>
          <cell r="AF184">
            <v>475104</v>
          </cell>
          <cell r="AG184">
            <v>72000</v>
          </cell>
          <cell r="AH184">
            <v>0</v>
          </cell>
          <cell r="AR184">
            <v>475104</v>
          </cell>
          <cell r="AS184">
            <v>72000</v>
          </cell>
          <cell r="AT184">
            <v>0</v>
          </cell>
          <cell r="BD184">
            <v>475104</v>
          </cell>
          <cell r="BE184">
            <v>72000</v>
          </cell>
          <cell r="BF184">
            <v>0</v>
          </cell>
        </row>
        <row r="185">
          <cell r="H185">
            <v>0</v>
          </cell>
          <cell r="I185">
            <v>300000</v>
          </cell>
          <cell r="J185">
            <v>0</v>
          </cell>
          <cell r="T185">
            <v>0</v>
          </cell>
          <cell r="U185">
            <v>300000</v>
          </cell>
          <cell r="V185">
            <v>0</v>
          </cell>
          <cell r="AF185">
            <v>0</v>
          </cell>
          <cell r="AG185">
            <v>300000</v>
          </cell>
          <cell r="AH185">
            <v>0</v>
          </cell>
          <cell r="AR185">
            <v>0</v>
          </cell>
          <cell r="AS185">
            <v>300000</v>
          </cell>
          <cell r="AT185">
            <v>0</v>
          </cell>
          <cell r="BD185">
            <v>0</v>
          </cell>
          <cell r="BE185">
            <v>300000</v>
          </cell>
          <cell r="BF185">
            <v>0</v>
          </cell>
        </row>
        <row r="186">
          <cell r="H186">
            <v>0</v>
          </cell>
          <cell r="I186">
            <v>408000</v>
          </cell>
          <cell r="J186">
            <v>0</v>
          </cell>
          <cell r="T186">
            <v>0</v>
          </cell>
          <cell r="U186">
            <v>408000</v>
          </cell>
          <cell r="V186">
            <v>0</v>
          </cell>
          <cell r="AF186">
            <v>0</v>
          </cell>
          <cell r="AG186">
            <v>408000</v>
          </cell>
          <cell r="AH186">
            <v>0</v>
          </cell>
          <cell r="AR186">
            <v>0</v>
          </cell>
          <cell r="AS186">
            <v>408000</v>
          </cell>
          <cell r="AT186">
            <v>0</v>
          </cell>
          <cell r="BD186">
            <v>0</v>
          </cell>
          <cell r="BE186">
            <v>408000</v>
          </cell>
          <cell r="BF186">
            <v>0</v>
          </cell>
        </row>
        <row r="187">
          <cell r="H187">
            <v>0</v>
          </cell>
          <cell r="I187">
            <v>420000</v>
          </cell>
          <cell r="J187">
            <v>0</v>
          </cell>
          <cell r="T187">
            <v>0</v>
          </cell>
          <cell r="U187">
            <v>420000</v>
          </cell>
          <cell r="V187">
            <v>0</v>
          </cell>
          <cell r="AF187">
            <v>0</v>
          </cell>
          <cell r="AG187">
            <v>420000</v>
          </cell>
          <cell r="AH187">
            <v>0</v>
          </cell>
          <cell r="AR187">
            <v>0</v>
          </cell>
          <cell r="AS187">
            <v>420000</v>
          </cell>
          <cell r="AT187">
            <v>0</v>
          </cell>
          <cell r="BD187">
            <v>0</v>
          </cell>
          <cell r="BE187">
            <v>420000</v>
          </cell>
          <cell r="BF187">
            <v>0</v>
          </cell>
        </row>
        <row r="188">
          <cell r="H188">
            <v>0</v>
          </cell>
          <cell r="I188">
            <v>252000</v>
          </cell>
          <cell r="J188">
            <v>0</v>
          </cell>
          <cell r="T188">
            <v>0</v>
          </cell>
          <cell r="U188">
            <v>252000</v>
          </cell>
          <cell r="V188">
            <v>0</v>
          </cell>
          <cell r="AF188">
            <v>0</v>
          </cell>
          <cell r="AG188">
            <v>252000</v>
          </cell>
          <cell r="AH188">
            <v>0</v>
          </cell>
          <cell r="AR188">
            <v>0</v>
          </cell>
          <cell r="AS188">
            <v>252000</v>
          </cell>
          <cell r="AT188">
            <v>0</v>
          </cell>
          <cell r="BD188">
            <v>0</v>
          </cell>
          <cell r="BE188">
            <v>252000</v>
          </cell>
          <cell r="BF188">
            <v>0</v>
          </cell>
        </row>
        <row r="189">
          <cell r="H189">
            <v>0</v>
          </cell>
          <cell r="I189">
            <v>0</v>
          </cell>
          <cell r="J189">
            <v>0</v>
          </cell>
          <cell r="T189">
            <v>0</v>
          </cell>
          <cell r="U189">
            <v>0</v>
          </cell>
          <cell r="V189">
            <v>0</v>
          </cell>
          <cell r="AF189">
            <v>0</v>
          </cell>
          <cell r="AG189">
            <v>456000</v>
          </cell>
          <cell r="AH189">
            <v>0</v>
          </cell>
          <cell r="AR189">
            <v>0</v>
          </cell>
          <cell r="AS189">
            <v>0</v>
          </cell>
          <cell r="AT189">
            <v>0</v>
          </cell>
          <cell r="BD189">
            <v>0</v>
          </cell>
          <cell r="BE189">
            <v>0</v>
          </cell>
          <cell r="BF189">
            <v>0</v>
          </cell>
        </row>
        <row r="190">
          <cell r="H190">
            <v>0</v>
          </cell>
          <cell r="I190">
            <v>0</v>
          </cell>
          <cell r="J190">
            <v>0</v>
          </cell>
          <cell r="T190">
            <v>0</v>
          </cell>
          <cell r="U190">
            <v>0</v>
          </cell>
          <cell r="V190">
            <v>17250000</v>
          </cell>
          <cell r="AF190">
            <v>0</v>
          </cell>
          <cell r="AG190">
            <v>0</v>
          </cell>
          <cell r="AH190">
            <v>17250000</v>
          </cell>
          <cell r="AR190">
            <v>0</v>
          </cell>
          <cell r="AS190">
            <v>0</v>
          </cell>
          <cell r="AT190">
            <v>17250000</v>
          </cell>
          <cell r="BD190">
            <v>0</v>
          </cell>
          <cell r="BE190">
            <v>0</v>
          </cell>
          <cell r="BF190">
            <v>17250000</v>
          </cell>
        </row>
        <row r="191">
          <cell r="H191">
            <v>0</v>
          </cell>
          <cell r="I191">
            <v>0</v>
          </cell>
          <cell r="J191">
            <v>0</v>
          </cell>
          <cell r="T191">
            <v>0</v>
          </cell>
          <cell r="U191">
            <v>588000</v>
          </cell>
          <cell r="V191">
            <v>0</v>
          </cell>
          <cell r="AF191">
            <v>0</v>
          </cell>
          <cell r="AG191">
            <v>904800</v>
          </cell>
          <cell r="AH191">
            <v>0</v>
          </cell>
          <cell r="AR191">
            <v>0</v>
          </cell>
          <cell r="AS191">
            <v>0</v>
          </cell>
          <cell r="AT191">
            <v>0</v>
          </cell>
          <cell r="BD191">
            <v>0</v>
          </cell>
          <cell r="BE191">
            <v>0</v>
          </cell>
          <cell r="BF191">
            <v>0</v>
          </cell>
        </row>
        <row r="192">
          <cell r="H192">
            <v>0</v>
          </cell>
          <cell r="I192">
            <v>0</v>
          </cell>
          <cell r="J192">
            <v>0</v>
          </cell>
          <cell r="T192">
            <v>180880</v>
          </cell>
          <cell r="U192">
            <v>24000</v>
          </cell>
          <cell r="V192">
            <v>0</v>
          </cell>
          <cell r="AF192">
            <v>180880</v>
          </cell>
          <cell r="AG192">
            <v>24000</v>
          </cell>
          <cell r="AH192">
            <v>0</v>
          </cell>
          <cell r="AR192">
            <v>0</v>
          </cell>
          <cell r="AS192">
            <v>0</v>
          </cell>
          <cell r="AT192">
            <v>0</v>
          </cell>
          <cell r="BD192">
            <v>0</v>
          </cell>
          <cell r="BE192">
            <v>0</v>
          </cell>
          <cell r="BF192">
            <v>0</v>
          </cell>
        </row>
        <row r="193">
          <cell r="H193">
            <v>0</v>
          </cell>
          <cell r="I193">
            <v>9600000</v>
          </cell>
          <cell r="J193">
            <v>0</v>
          </cell>
          <cell r="T193">
            <v>0</v>
          </cell>
          <cell r="U193">
            <v>18000000</v>
          </cell>
          <cell r="V193">
            <v>0</v>
          </cell>
          <cell r="AF193">
            <v>0</v>
          </cell>
          <cell r="AG193">
            <v>38400000</v>
          </cell>
          <cell r="AH193">
            <v>0</v>
          </cell>
          <cell r="AR193">
            <v>0</v>
          </cell>
          <cell r="AS193">
            <v>0</v>
          </cell>
          <cell r="AT193">
            <v>0</v>
          </cell>
          <cell r="BD193">
            <v>0</v>
          </cell>
          <cell r="BE193">
            <v>0</v>
          </cell>
          <cell r="BF193">
            <v>0</v>
          </cell>
        </row>
        <row r="194">
          <cell r="H194">
            <v>0</v>
          </cell>
          <cell r="I194">
            <v>342000</v>
          </cell>
          <cell r="J194">
            <v>0</v>
          </cell>
          <cell r="T194">
            <v>0</v>
          </cell>
          <cell r="U194">
            <v>342000</v>
          </cell>
          <cell r="V194">
            <v>0</v>
          </cell>
          <cell r="AF194">
            <v>0</v>
          </cell>
          <cell r="AG194">
            <v>0</v>
          </cell>
          <cell r="AH194">
            <v>0</v>
          </cell>
          <cell r="AR194">
            <v>0</v>
          </cell>
          <cell r="AS194">
            <v>0</v>
          </cell>
          <cell r="AT194">
            <v>0</v>
          </cell>
          <cell r="BD194">
            <v>0</v>
          </cell>
          <cell r="BE194">
            <v>0</v>
          </cell>
          <cell r="BF194">
            <v>0</v>
          </cell>
        </row>
        <row r="195">
          <cell r="H195">
            <v>0</v>
          </cell>
          <cell r="I195">
            <v>0</v>
          </cell>
          <cell r="J195">
            <v>0</v>
          </cell>
          <cell r="T195">
            <v>0</v>
          </cell>
          <cell r="U195">
            <v>0</v>
          </cell>
          <cell r="V195">
            <v>0</v>
          </cell>
          <cell r="AF195">
            <v>0</v>
          </cell>
          <cell r="AG195">
            <v>0</v>
          </cell>
          <cell r="AH195">
            <v>0</v>
          </cell>
          <cell r="AR195">
            <v>0</v>
          </cell>
          <cell r="AS195">
            <v>0</v>
          </cell>
          <cell r="AT195">
            <v>0</v>
          </cell>
          <cell r="BD195">
            <v>7601664</v>
          </cell>
          <cell r="BE195">
            <v>3360000</v>
          </cell>
          <cell r="BF195">
            <v>89700000</v>
          </cell>
        </row>
        <row r="196">
          <cell r="H196">
            <v>0</v>
          </cell>
          <cell r="I196">
            <v>0</v>
          </cell>
          <cell r="J196">
            <v>0</v>
          </cell>
          <cell r="T196">
            <v>0</v>
          </cell>
          <cell r="U196">
            <v>0</v>
          </cell>
          <cell r="V196">
            <v>0</v>
          </cell>
          <cell r="AF196">
            <v>0</v>
          </cell>
          <cell r="AG196">
            <v>26400000</v>
          </cell>
          <cell r="AH196">
            <v>0</v>
          </cell>
          <cell r="AR196">
            <v>0</v>
          </cell>
          <cell r="AS196">
            <v>26400000</v>
          </cell>
          <cell r="AT196">
            <v>0</v>
          </cell>
          <cell r="BD196">
            <v>0</v>
          </cell>
          <cell r="BE196">
            <v>26400000</v>
          </cell>
          <cell r="BF196">
            <v>0</v>
          </cell>
        </row>
        <row r="199">
          <cell r="H199">
            <v>0</v>
          </cell>
          <cell r="I199">
            <v>3600000</v>
          </cell>
          <cell r="J199">
            <v>0</v>
          </cell>
          <cell r="T199">
            <v>0</v>
          </cell>
          <cell r="U199">
            <v>0</v>
          </cell>
          <cell r="V199">
            <v>0</v>
          </cell>
          <cell r="AF199">
            <v>0</v>
          </cell>
          <cell r="AG199">
            <v>3600000</v>
          </cell>
          <cell r="AH199">
            <v>0</v>
          </cell>
          <cell r="AR199">
            <v>0</v>
          </cell>
          <cell r="AS199">
            <v>0</v>
          </cell>
          <cell r="AT199">
            <v>0</v>
          </cell>
          <cell r="BD199">
            <v>0</v>
          </cell>
          <cell r="BE199">
            <v>3600000</v>
          </cell>
          <cell r="BF199">
            <v>0</v>
          </cell>
        </row>
        <row r="200">
          <cell r="H200">
            <v>0</v>
          </cell>
          <cell r="I200">
            <v>436800</v>
          </cell>
          <cell r="J200">
            <v>0</v>
          </cell>
          <cell r="T200">
            <v>0</v>
          </cell>
          <cell r="U200">
            <v>0</v>
          </cell>
          <cell r="V200">
            <v>0</v>
          </cell>
          <cell r="AF200">
            <v>0</v>
          </cell>
          <cell r="AG200">
            <v>436800</v>
          </cell>
          <cell r="AH200">
            <v>0</v>
          </cell>
          <cell r="AR200">
            <v>0</v>
          </cell>
          <cell r="AS200">
            <v>0</v>
          </cell>
          <cell r="AT200">
            <v>0</v>
          </cell>
          <cell r="BD200">
            <v>0</v>
          </cell>
          <cell r="BE200">
            <v>436800</v>
          </cell>
          <cell r="BF200">
            <v>0</v>
          </cell>
        </row>
        <row r="201">
          <cell r="H201">
            <v>0</v>
          </cell>
          <cell r="I201">
            <v>0</v>
          </cell>
          <cell r="J201">
            <v>0</v>
          </cell>
          <cell r="T201">
            <v>0</v>
          </cell>
          <cell r="U201">
            <v>0</v>
          </cell>
          <cell r="V201">
            <v>0</v>
          </cell>
          <cell r="AF201">
            <v>627060</v>
          </cell>
          <cell r="AG201">
            <v>0</v>
          </cell>
          <cell r="AH201">
            <v>0</v>
          </cell>
          <cell r="AR201">
            <v>0</v>
          </cell>
          <cell r="AS201">
            <v>0</v>
          </cell>
          <cell r="AT201">
            <v>0</v>
          </cell>
          <cell r="BD201">
            <v>627060</v>
          </cell>
          <cell r="BE201">
            <v>0</v>
          </cell>
          <cell r="BF201">
            <v>0</v>
          </cell>
        </row>
        <row r="202">
          <cell r="H202">
            <v>0</v>
          </cell>
          <cell r="I202">
            <v>2160000</v>
          </cell>
          <cell r="J202">
            <v>0</v>
          </cell>
          <cell r="T202">
            <v>0</v>
          </cell>
          <cell r="U202">
            <v>0</v>
          </cell>
          <cell r="V202">
            <v>0</v>
          </cell>
          <cell r="AF202">
            <v>0</v>
          </cell>
          <cell r="AG202">
            <v>2160000</v>
          </cell>
          <cell r="AH202">
            <v>0</v>
          </cell>
          <cell r="AR202">
            <v>0</v>
          </cell>
          <cell r="AS202">
            <v>0</v>
          </cell>
          <cell r="AT202">
            <v>0</v>
          </cell>
          <cell r="BD202">
            <v>0</v>
          </cell>
          <cell r="BE202">
            <v>2160000</v>
          </cell>
          <cell r="BF202">
            <v>0</v>
          </cell>
        </row>
        <row r="203">
          <cell r="H203">
            <v>0</v>
          </cell>
          <cell r="I203">
            <v>300000</v>
          </cell>
          <cell r="J203">
            <v>0</v>
          </cell>
          <cell r="T203">
            <v>0</v>
          </cell>
          <cell r="U203">
            <v>0</v>
          </cell>
          <cell r="V203">
            <v>0</v>
          </cell>
          <cell r="AF203">
            <v>0</v>
          </cell>
          <cell r="AG203">
            <v>300000</v>
          </cell>
          <cell r="AH203">
            <v>0</v>
          </cell>
          <cell r="AR203">
            <v>0</v>
          </cell>
          <cell r="AS203">
            <v>0</v>
          </cell>
          <cell r="AT203">
            <v>0</v>
          </cell>
          <cell r="BD203">
            <v>0</v>
          </cell>
          <cell r="BE203">
            <v>300000</v>
          </cell>
          <cell r="BF203">
            <v>0</v>
          </cell>
        </row>
        <row r="204">
          <cell r="H204">
            <v>0</v>
          </cell>
          <cell r="I204">
            <v>0</v>
          </cell>
          <cell r="J204">
            <v>0</v>
          </cell>
          <cell r="T204">
            <v>0</v>
          </cell>
          <cell r="U204">
            <v>0</v>
          </cell>
          <cell r="V204">
            <v>0</v>
          </cell>
          <cell r="AF204">
            <v>313530</v>
          </cell>
          <cell r="AG204">
            <v>0</v>
          </cell>
          <cell r="AH204">
            <v>0</v>
          </cell>
          <cell r="AR204">
            <v>0</v>
          </cell>
          <cell r="AS204">
            <v>0</v>
          </cell>
          <cell r="AT204">
            <v>0</v>
          </cell>
          <cell r="BD204">
            <v>313530</v>
          </cell>
          <cell r="BE204">
            <v>0</v>
          </cell>
          <cell r="BF204">
            <v>0</v>
          </cell>
        </row>
        <row r="205">
          <cell r="H205">
            <v>0</v>
          </cell>
          <cell r="I205">
            <v>0</v>
          </cell>
          <cell r="J205">
            <v>0</v>
          </cell>
          <cell r="T205">
            <v>0</v>
          </cell>
          <cell r="U205">
            <v>0</v>
          </cell>
          <cell r="V205">
            <v>0</v>
          </cell>
          <cell r="AF205">
            <v>0</v>
          </cell>
          <cell r="AG205">
            <v>0</v>
          </cell>
          <cell r="AH205">
            <v>0</v>
          </cell>
          <cell r="AR205">
            <v>0</v>
          </cell>
          <cell r="AS205">
            <v>0</v>
          </cell>
          <cell r="AT205">
            <v>0</v>
          </cell>
          <cell r="BD205">
            <v>418040</v>
          </cell>
          <cell r="BE205">
            <v>48000</v>
          </cell>
          <cell r="BF205">
            <v>0</v>
          </cell>
        </row>
        <row r="206">
          <cell r="H206">
            <v>0</v>
          </cell>
          <cell r="I206">
            <v>0</v>
          </cell>
          <cell r="J206">
            <v>0</v>
          </cell>
          <cell r="T206">
            <v>0</v>
          </cell>
          <cell r="U206">
            <v>0</v>
          </cell>
          <cell r="V206">
            <v>0</v>
          </cell>
          <cell r="AF206">
            <v>0</v>
          </cell>
          <cell r="AG206">
            <v>1200000</v>
          </cell>
          <cell r="AH206">
            <v>0</v>
          </cell>
          <cell r="AR206">
            <v>0</v>
          </cell>
          <cell r="AS206">
            <v>0</v>
          </cell>
          <cell r="AT206">
            <v>0</v>
          </cell>
          <cell r="BD206">
            <v>0</v>
          </cell>
          <cell r="BE206">
            <v>0</v>
          </cell>
          <cell r="BF206">
            <v>0</v>
          </cell>
        </row>
        <row r="208">
          <cell r="H208">
            <v>158368</v>
          </cell>
          <cell r="I208">
            <v>0</v>
          </cell>
          <cell r="J208">
            <v>0</v>
          </cell>
          <cell r="T208">
            <v>0</v>
          </cell>
          <cell r="U208">
            <v>0</v>
          </cell>
          <cell r="V208">
            <v>0</v>
          </cell>
          <cell r="AF208">
            <v>0</v>
          </cell>
          <cell r="AG208">
            <v>0</v>
          </cell>
          <cell r="AH208">
            <v>0</v>
          </cell>
          <cell r="AR208">
            <v>0</v>
          </cell>
          <cell r="AS208">
            <v>0</v>
          </cell>
          <cell r="AT208">
            <v>0</v>
          </cell>
          <cell r="BD208">
            <v>0</v>
          </cell>
          <cell r="BE208">
            <v>0</v>
          </cell>
          <cell r="BF208">
            <v>0</v>
          </cell>
        </row>
        <row r="209">
          <cell r="H209">
            <v>79184</v>
          </cell>
          <cell r="I209">
            <v>0</v>
          </cell>
          <cell r="J209">
            <v>0</v>
          </cell>
          <cell r="T209">
            <v>79184</v>
          </cell>
          <cell r="U209">
            <v>0</v>
          </cell>
          <cell r="V209">
            <v>0</v>
          </cell>
          <cell r="AF209">
            <v>79184</v>
          </cell>
          <cell r="AG209">
            <v>0</v>
          </cell>
          <cell r="AH209">
            <v>0</v>
          </cell>
          <cell r="AR209">
            <v>79184</v>
          </cell>
          <cell r="AS209">
            <v>0</v>
          </cell>
          <cell r="AT209">
            <v>0</v>
          </cell>
          <cell r="BD209">
            <v>79184</v>
          </cell>
          <cell r="BE209">
            <v>0</v>
          </cell>
          <cell r="BF209">
            <v>0</v>
          </cell>
        </row>
        <row r="210">
          <cell r="H210">
            <v>338688</v>
          </cell>
          <cell r="I210">
            <v>0</v>
          </cell>
          <cell r="J210">
            <v>0</v>
          </cell>
          <cell r="T210">
            <v>338688</v>
          </cell>
          <cell r="U210">
            <v>0</v>
          </cell>
          <cell r="V210">
            <v>0</v>
          </cell>
          <cell r="AF210">
            <v>0</v>
          </cell>
          <cell r="AG210">
            <v>0</v>
          </cell>
          <cell r="AH210">
            <v>0</v>
          </cell>
          <cell r="AR210">
            <v>0</v>
          </cell>
          <cell r="AS210">
            <v>0</v>
          </cell>
          <cell r="AT210">
            <v>0</v>
          </cell>
          <cell r="BD210">
            <v>0</v>
          </cell>
          <cell r="BE210">
            <v>0</v>
          </cell>
          <cell r="BF210">
            <v>0</v>
          </cell>
        </row>
        <row r="211">
          <cell r="H211">
            <v>0</v>
          </cell>
          <cell r="I211">
            <v>1680000</v>
          </cell>
          <cell r="J211">
            <v>0</v>
          </cell>
          <cell r="T211">
            <v>0</v>
          </cell>
          <cell r="U211">
            <v>1680000</v>
          </cell>
          <cell r="V211">
            <v>0</v>
          </cell>
          <cell r="AF211">
            <v>0</v>
          </cell>
          <cell r="AG211">
            <v>1680000</v>
          </cell>
          <cell r="AH211">
            <v>0</v>
          </cell>
          <cell r="AR211">
            <v>0</v>
          </cell>
          <cell r="AS211">
            <v>1680000</v>
          </cell>
          <cell r="AT211">
            <v>0</v>
          </cell>
          <cell r="BD211">
            <v>0</v>
          </cell>
          <cell r="BE211">
            <v>1680000</v>
          </cell>
          <cell r="BF211">
            <v>0</v>
          </cell>
        </row>
        <row r="212">
          <cell r="H212">
            <v>158368</v>
          </cell>
          <cell r="I212">
            <v>0</v>
          </cell>
          <cell r="J212">
            <v>0</v>
          </cell>
          <cell r="T212">
            <v>79184</v>
          </cell>
          <cell r="U212">
            <v>0</v>
          </cell>
          <cell r="V212">
            <v>0</v>
          </cell>
          <cell r="AF212">
            <v>79184</v>
          </cell>
          <cell r="AG212">
            <v>0</v>
          </cell>
          <cell r="AH212">
            <v>0</v>
          </cell>
          <cell r="AR212">
            <v>79184</v>
          </cell>
          <cell r="AS212">
            <v>0</v>
          </cell>
          <cell r="AT212">
            <v>0</v>
          </cell>
          <cell r="BD212">
            <v>79184</v>
          </cell>
          <cell r="BE212">
            <v>0</v>
          </cell>
          <cell r="BF212">
            <v>0</v>
          </cell>
        </row>
        <row r="213">
          <cell r="H213">
            <v>90440</v>
          </cell>
          <cell r="I213">
            <v>0</v>
          </cell>
          <cell r="J213">
            <v>0</v>
          </cell>
          <cell r="T213">
            <v>90440</v>
          </cell>
          <cell r="U213">
            <v>0</v>
          </cell>
          <cell r="V213">
            <v>0</v>
          </cell>
          <cell r="AF213">
            <v>0</v>
          </cell>
          <cell r="AG213">
            <v>0</v>
          </cell>
          <cell r="AH213">
            <v>0</v>
          </cell>
          <cell r="AT213">
            <v>0</v>
          </cell>
          <cell r="BD213">
            <v>0</v>
          </cell>
          <cell r="BE213">
            <v>0</v>
          </cell>
          <cell r="BF213">
            <v>0</v>
          </cell>
        </row>
        <row r="215">
          <cell r="H215">
            <v>0</v>
          </cell>
          <cell r="I215">
            <v>0</v>
          </cell>
          <cell r="J215">
            <v>0</v>
          </cell>
          <cell r="T215">
            <v>0</v>
          </cell>
          <cell r="U215">
            <v>0</v>
          </cell>
          <cell r="V215">
            <v>0</v>
          </cell>
          <cell r="AF215">
            <v>0</v>
          </cell>
          <cell r="AG215">
            <v>1872000</v>
          </cell>
          <cell r="AH215">
            <v>0</v>
          </cell>
          <cell r="AR215">
            <v>0</v>
          </cell>
          <cell r="AS215">
            <v>0</v>
          </cell>
          <cell r="AT215">
            <v>0</v>
          </cell>
          <cell r="BD215">
            <v>0</v>
          </cell>
          <cell r="BE215">
            <v>1872000</v>
          </cell>
          <cell r="BF215">
            <v>0</v>
          </cell>
        </row>
        <row r="216">
          <cell r="H216">
            <v>0</v>
          </cell>
          <cell r="I216">
            <v>0</v>
          </cell>
          <cell r="J216">
            <v>0</v>
          </cell>
          <cell r="T216">
            <v>0</v>
          </cell>
          <cell r="U216">
            <v>0</v>
          </cell>
          <cell r="V216">
            <v>0</v>
          </cell>
          <cell r="AF216">
            <v>0</v>
          </cell>
          <cell r="AG216">
            <v>0</v>
          </cell>
          <cell r="AH216">
            <v>0</v>
          </cell>
          <cell r="AR216">
            <v>0</v>
          </cell>
          <cell r="AS216">
            <v>0</v>
          </cell>
          <cell r="AT216">
            <v>0</v>
          </cell>
          <cell r="BD216">
            <v>0</v>
          </cell>
          <cell r="BE216">
            <v>0</v>
          </cell>
          <cell r="BF216">
            <v>0</v>
          </cell>
        </row>
        <row r="217">
          <cell r="H217">
            <v>0</v>
          </cell>
          <cell r="I217">
            <v>0</v>
          </cell>
          <cell r="J217">
            <v>0</v>
          </cell>
          <cell r="T217">
            <v>0</v>
          </cell>
          <cell r="U217">
            <v>1872000</v>
          </cell>
          <cell r="V217">
            <v>0</v>
          </cell>
          <cell r="AF217">
            <v>0</v>
          </cell>
          <cell r="AG217">
            <v>0</v>
          </cell>
          <cell r="AH217">
            <v>0</v>
          </cell>
          <cell r="AR217">
            <v>0</v>
          </cell>
          <cell r="AS217">
            <v>0</v>
          </cell>
          <cell r="AT217">
            <v>0</v>
          </cell>
          <cell r="BD217">
            <v>0</v>
          </cell>
          <cell r="BE217">
            <v>0</v>
          </cell>
          <cell r="BF217">
            <v>0</v>
          </cell>
        </row>
        <row r="218">
          <cell r="H218">
            <v>0</v>
          </cell>
          <cell r="I218">
            <v>0</v>
          </cell>
          <cell r="J218">
            <v>0</v>
          </cell>
          <cell r="T218">
            <v>0</v>
          </cell>
          <cell r="U218">
            <v>0</v>
          </cell>
          <cell r="V218">
            <v>0</v>
          </cell>
          <cell r="AF218">
            <v>0</v>
          </cell>
          <cell r="AG218">
            <v>0</v>
          </cell>
          <cell r="AH218">
            <v>0</v>
          </cell>
          <cell r="AR218">
            <v>0</v>
          </cell>
          <cell r="AS218">
            <v>0</v>
          </cell>
          <cell r="AT218">
            <v>0</v>
          </cell>
          <cell r="BD218">
            <v>5426400</v>
          </cell>
          <cell r="BE218">
            <v>564000</v>
          </cell>
          <cell r="BF218">
            <v>0</v>
          </cell>
        </row>
        <row r="219">
          <cell r="H219">
            <v>0</v>
          </cell>
          <cell r="I219">
            <v>0</v>
          </cell>
          <cell r="J219">
            <v>0</v>
          </cell>
          <cell r="T219">
            <v>0</v>
          </cell>
          <cell r="U219">
            <v>3120000</v>
          </cell>
          <cell r="V219">
            <v>0</v>
          </cell>
          <cell r="AF219">
            <v>0</v>
          </cell>
          <cell r="AG219">
            <v>0</v>
          </cell>
          <cell r="AH219">
            <v>0</v>
          </cell>
          <cell r="AR219">
            <v>0</v>
          </cell>
          <cell r="AS219">
            <v>3120000</v>
          </cell>
          <cell r="AT219">
            <v>0</v>
          </cell>
          <cell r="BD219">
            <v>0</v>
          </cell>
          <cell r="BE219">
            <v>0</v>
          </cell>
          <cell r="BF219">
            <v>0</v>
          </cell>
        </row>
        <row r="220">
          <cell r="H220">
            <v>0</v>
          </cell>
          <cell r="I220">
            <v>992400</v>
          </cell>
          <cell r="J220">
            <v>0</v>
          </cell>
          <cell r="T220">
            <v>0</v>
          </cell>
          <cell r="U220">
            <v>992400</v>
          </cell>
          <cell r="V220">
            <v>0</v>
          </cell>
          <cell r="AF220">
            <v>0</v>
          </cell>
          <cell r="AG220">
            <v>992400</v>
          </cell>
          <cell r="AH220">
            <v>0</v>
          </cell>
          <cell r="AR220">
            <v>0</v>
          </cell>
          <cell r="AS220">
            <v>992400</v>
          </cell>
          <cell r="AT220">
            <v>0</v>
          </cell>
          <cell r="BD220">
            <v>0</v>
          </cell>
          <cell r="BE220">
            <v>992400</v>
          </cell>
          <cell r="BF220">
            <v>0</v>
          </cell>
        </row>
        <row r="221">
          <cell r="H221">
            <v>0</v>
          </cell>
          <cell r="I221">
            <v>0</v>
          </cell>
          <cell r="J221">
            <v>0</v>
          </cell>
          <cell r="T221">
            <v>0</v>
          </cell>
          <cell r="U221">
            <v>0</v>
          </cell>
          <cell r="V221">
            <v>0</v>
          </cell>
          <cell r="AF221">
            <v>0</v>
          </cell>
          <cell r="AG221">
            <v>0</v>
          </cell>
          <cell r="AH221">
            <v>0</v>
          </cell>
          <cell r="AR221">
            <v>0</v>
          </cell>
          <cell r="AS221">
            <v>0</v>
          </cell>
          <cell r="AT221">
            <v>0</v>
          </cell>
          <cell r="BD221">
            <v>0</v>
          </cell>
          <cell r="BE221">
            <v>2533200</v>
          </cell>
          <cell r="BF221">
            <v>0</v>
          </cell>
        </row>
        <row r="222">
          <cell r="H222">
            <v>0</v>
          </cell>
          <cell r="I222">
            <v>0</v>
          </cell>
          <cell r="J222">
            <v>0</v>
          </cell>
          <cell r="T222">
            <v>0</v>
          </cell>
          <cell r="U222">
            <v>0</v>
          </cell>
          <cell r="V222">
            <v>0</v>
          </cell>
          <cell r="AF222">
            <v>0</v>
          </cell>
          <cell r="AG222">
            <v>0</v>
          </cell>
          <cell r="AH222">
            <v>0</v>
          </cell>
          <cell r="AR222">
            <v>0</v>
          </cell>
          <cell r="AS222">
            <v>0</v>
          </cell>
          <cell r="AT222">
            <v>0</v>
          </cell>
          <cell r="BD222">
            <v>0</v>
          </cell>
          <cell r="BE222">
            <v>25200000</v>
          </cell>
          <cell r="BF222">
            <v>0</v>
          </cell>
        </row>
        <row r="225">
          <cell r="H225">
            <v>225792</v>
          </cell>
          <cell r="I225">
            <v>18000</v>
          </cell>
          <cell r="J225">
            <v>0</v>
          </cell>
          <cell r="T225">
            <v>0</v>
          </cell>
          <cell r="U225">
            <v>0</v>
          </cell>
          <cell r="V225">
            <v>0</v>
          </cell>
          <cell r="AF225">
            <v>0</v>
          </cell>
          <cell r="AG225">
            <v>0</v>
          </cell>
          <cell r="AH225">
            <v>0</v>
          </cell>
          <cell r="AR225">
            <v>0</v>
          </cell>
          <cell r="AS225">
            <v>0</v>
          </cell>
          <cell r="AT225">
            <v>0</v>
          </cell>
          <cell r="BD225">
            <v>0</v>
          </cell>
          <cell r="BE225">
            <v>0</v>
          </cell>
          <cell r="BF225">
            <v>0</v>
          </cell>
        </row>
        <row r="226">
          <cell r="H226">
            <v>406560</v>
          </cell>
          <cell r="I226">
            <v>0</v>
          </cell>
          <cell r="J226">
            <v>0</v>
          </cell>
          <cell r="T226">
            <v>406560</v>
          </cell>
          <cell r="U226">
            <v>0</v>
          </cell>
          <cell r="V226">
            <v>0</v>
          </cell>
          <cell r="AF226">
            <v>406560</v>
          </cell>
          <cell r="AG226">
            <v>0</v>
          </cell>
          <cell r="AH226">
            <v>0</v>
          </cell>
          <cell r="AR226">
            <v>406560</v>
          </cell>
          <cell r="AS226">
            <v>0</v>
          </cell>
          <cell r="AT226">
            <v>0</v>
          </cell>
          <cell r="BD226">
            <v>406560</v>
          </cell>
          <cell r="BE226">
            <v>0</v>
          </cell>
          <cell r="BF226">
            <v>0</v>
          </cell>
        </row>
        <row r="227">
          <cell r="H227">
            <v>0</v>
          </cell>
          <cell r="I227">
            <v>0</v>
          </cell>
          <cell r="J227">
            <v>0</v>
          </cell>
          <cell r="T227">
            <v>0</v>
          </cell>
          <cell r="U227">
            <v>930000</v>
          </cell>
          <cell r="V227">
            <v>0</v>
          </cell>
          <cell r="AF227">
            <v>0</v>
          </cell>
          <cell r="AG227">
            <v>0</v>
          </cell>
          <cell r="AH227">
            <v>0</v>
          </cell>
          <cell r="AR227">
            <v>0</v>
          </cell>
          <cell r="AS227">
            <v>0</v>
          </cell>
          <cell r="AT227">
            <v>0</v>
          </cell>
          <cell r="BD227">
            <v>0</v>
          </cell>
          <cell r="BE227">
            <v>0</v>
          </cell>
          <cell r="BF227">
            <v>0</v>
          </cell>
        </row>
        <row r="228">
          <cell r="H228">
            <v>338688</v>
          </cell>
          <cell r="I228">
            <v>30000</v>
          </cell>
          <cell r="J228">
            <v>0</v>
          </cell>
          <cell r="T228">
            <v>338688</v>
          </cell>
          <cell r="U228">
            <v>30000</v>
          </cell>
          <cell r="V228">
            <v>0</v>
          </cell>
          <cell r="AF228">
            <v>338688</v>
          </cell>
          <cell r="AG228">
            <v>30000</v>
          </cell>
          <cell r="AH228">
            <v>0</v>
          </cell>
          <cell r="AR228">
            <v>338688</v>
          </cell>
          <cell r="AS228">
            <v>30000</v>
          </cell>
          <cell r="AT228">
            <v>0</v>
          </cell>
          <cell r="BD228">
            <v>338688</v>
          </cell>
          <cell r="BE228">
            <v>30000</v>
          </cell>
          <cell r="BF228">
            <v>0</v>
          </cell>
        </row>
        <row r="229">
          <cell r="H229">
            <v>0</v>
          </cell>
          <cell r="I229">
            <v>300000</v>
          </cell>
          <cell r="J229">
            <v>0</v>
          </cell>
          <cell r="T229">
            <v>0</v>
          </cell>
          <cell r="U229">
            <v>303600</v>
          </cell>
          <cell r="V229">
            <v>0</v>
          </cell>
          <cell r="AF229">
            <v>0</v>
          </cell>
          <cell r="AG229">
            <v>303600</v>
          </cell>
          <cell r="AH229">
            <v>0</v>
          </cell>
          <cell r="AR229">
            <v>0</v>
          </cell>
          <cell r="AS229">
            <v>303600</v>
          </cell>
          <cell r="AT229">
            <v>0</v>
          </cell>
          <cell r="BD229">
            <v>0</v>
          </cell>
          <cell r="BE229">
            <v>303600</v>
          </cell>
          <cell r="BF229">
            <v>0</v>
          </cell>
        </row>
        <row r="231">
          <cell r="H231">
            <v>0</v>
          </cell>
          <cell r="I231">
            <v>0</v>
          </cell>
          <cell r="J231">
            <v>0</v>
          </cell>
          <cell r="T231">
            <v>1626240</v>
          </cell>
          <cell r="U231">
            <v>684000</v>
          </cell>
          <cell r="V231">
            <v>0</v>
          </cell>
          <cell r="AF231">
            <v>1626240</v>
          </cell>
          <cell r="AG231">
            <v>684000</v>
          </cell>
          <cell r="AH231">
            <v>0</v>
          </cell>
          <cell r="AR231">
            <v>0</v>
          </cell>
          <cell r="AS231">
            <v>0</v>
          </cell>
          <cell r="AT231">
            <v>0</v>
          </cell>
          <cell r="BD231">
            <v>0</v>
          </cell>
          <cell r="BE231">
            <v>0</v>
          </cell>
          <cell r="BF231">
            <v>0</v>
          </cell>
        </row>
        <row r="232">
          <cell r="H232">
            <v>0</v>
          </cell>
          <cell r="I232">
            <v>0</v>
          </cell>
          <cell r="J232">
            <v>0</v>
          </cell>
          <cell r="T232">
            <v>0</v>
          </cell>
          <cell r="U232">
            <v>912000</v>
          </cell>
          <cell r="V232">
            <v>0</v>
          </cell>
          <cell r="AF232">
            <v>0</v>
          </cell>
          <cell r="AG232">
            <v>0</v>
          </cell>
          <cell r="AH232">
            <v>0</v>
          </cell>
          <cell r="AR232">
            <v>0</v>
          </cell>
          <cell r="AS232">
            <v>0</v>
          </cell>
          <cell r="AT232">
            <v>0</v>
          </cell>
          <cell r="BD232">
            <v>0</v>
          </cell>
          <cell r="BE232">
            <v>0</v>
          </cell>
          <cell r="BF232">
            <v>0</v>
          </cell>
        </row>
        <row r="233">
          <cell r="H233">
            <v>677376</v>
          </cell>
          <cell r="I233">
            <v>360000</v>
          </cell>
          <cell r="J233">
            <v>0</v>
          </cell>
          <cell r="T233">
            <v>677376</v>
          </cell>
          <cell r="U233">
            <v>360000</v>
          </cell>
          <cell r="V233">
            <v>0</v>
          </cell>
          <cell r="AF233">
            <v>677376</v>
          </cell>
          <cell r="AG233">
            <v>360000</v>
          </cell>
          <cell r="AH233">
            <v>0</v>
          </cell>
          <cell r="AR233">
            <v>677376</v>
          </cell>
          <cell r="AS233">
            <v>360000</v>
          </cell>
          <cell r="AT233">
            <v>0</v>
          </cell>
          <cell r="BD233">
            <v>677376</v>
          </cell>
          <cell r="BE233">
            <v>360000</v>
          </cell>
          <cell r="BF233">
            <v>0</v>
          </cell>
        </row>
        <row r="234">
          <cell r="H234">
            <v>0</v>
          </cell>
          <cell r="I234">
            <v>0</v>
          </cell>
          <cell r="J234">
            <v>0</v>
          </cell>
          <cell r="T234">
            <v>271320</v>
          </cell>
          <cell r="U234">
            <v>732000</v>
          </cell>
          <cell r="V234">
            <v>0</v>
          </cell>
          <cell r="AF234">
            <v>0</v>
          </cell>
          <cell r="AG234">
            <v>0</v>
          </cell>
          <cell r="AH234">
            <v>0</v>
          </cell>
          <cell r="AR234">
            <v>271320</v>
          </cell>
          <cell r="AS234">
            <v>732000</v>
          </cell>
          <cell r="AT234">
            <v>0</v>
          </cell>
          <cell r="BD234">
            <v>0</v>
          </cell>
          <cell r="BE234">
            <v>0</v>
          </cell>
          <cell r="BF234">
            <v>0</v>
          </cell>
        </row>
        <row r="235">
          <cell r="H235">
            <v>271040</v>
          </cell>
          <cell r="I235">
            <v>60000</v>
          </cell>
          <cell r="J235">
            <v>0</v>
          </cell>
          <cell r="T235">
            <v>271040</v>
          </cell>
          <cell r="U235">
            <v>60000</v>
          </cell>
          <cell r="V235">
            <v>0</v>
          </cell>
          <cell r="AF235">
            <v>271040</v>
          </cell>
          <cell r="AG235">
            <v>60000</v>
          </cell>
          <cell r="AH235">
            <v>0</v>
          </cell>
          <cell r="AR235">
            <v>271040</v>
          </cell>
          <cell r="AS235">
            <v>60000</v>
          </cell>
          <cell r="AT235">
            <v>0</v>
          </cell>
          <cell r="BD235">
            <v>271040</v>
          </cell>
          <cell r="BE235">
            <v>60000</v>
          </cell>
          <cell r="BF235">
            <v>0</v>
          </cell>
        </row>
        <row r="236">
          <cell r="H236">
            <v>209020</v>
          </cell>
          <cell r="I236">
            <v>31200</v>
          </cell>
          <cell r="T236">
            <v>209020</v>
          </cell>
          <cell r="U236">
            <v>31200</v>
          </cell>
          <cell r="V236">
            <v>0</v>
          </cell>
          <cell r="AF236">
            <v>209020</v>
          </cell>
          <cell r="AG236">
            <v>31200</v>
          </cell>
          <cell r="AH236">
            <v>0</v>
          </cell>
          <cell r="AR236">
            <v>209020</v>
          </cell>
          <cell r="AS236">
            <v>31200</v>
          </cell>
          <cell r="AT236">
            <v>0</v>
          </cell>
          <cell r="BD236">
            <v>209020</v>
          </cell>
          <cell r="BE236">
            <v>31200</v>
          </cell>
          <cell r="BF236">
            <v>0</v>
          </cell>
        </row>
        <row r="237">
          <cell r="H237">
            <v>209020</v>
          </cell>
          <cell r="I237">
            <v>31200</v>
          </cell>
          <cell r="J237">
            <v>0</v>
          </cell>
          <cell r="T237">
            <v>209020</v>
          </cell>
          <cell r="U237">
            <v>31200</v>
          </cell>
          <cell r="V237">
            <v>0</v>
          </cell>
          <cell r="AF237">
            <v>209020</v>
          </cell>
          <cell r="AG237">
            <v>31200</v>
          </cell>
          <cell r="AH237">
            <v>0</v>
          </cell>
          <cell r="AR237">
            <v>209020</v>
          </cell>
          <cell r="AS237">
            <v>31200</v>
          </cell>
          <cell r="AT237">
            <v>0</v>
          </cell>
          <cell r="BD237">
            <v>209020</v>
          </cell>
          <cell r="BE237">
            <v>31200</v>
          </cell>
          <cell r="BF237">
            <v>0</v>
          </cell>
        </row>
        <row r="238">
          <cell r="H238">
            <v>79184</v>
          </cell>
          <cell r="I238">
            <v>12000</v>
          </cell>
          <cell r="J238">
            <v>0</v>
          </cell>
          <cell r="T238">
            <v>79184</v>
          </cell>
          <cell r="U238">
            <v>12000</v>
          </cell>
          <cell r="V238">
            <v>0</v>
          </cell>
          <cell r="AF238">
            <v>79184</v>
          </cell>
          <cell r="AG238">
            <v>12000</v>
          </cell>
          <cell r="AH238">
            <v>0</v>
          </cell>
          <cell r="AR238">
            <v>79184</v>
          </cell>
          <cell r="AS238">
            <v>12000</v>
          </cell>
          <cell r="AT238">
            <v>0</v>
          </cell>
          <cell r="BD238">
            <v>79184</v>
          </cell>
          <cell r="BE238">
            <v>12000</v>
          </cell>
          <cell r="BF238">
            <v>0</v>
          </cell>
        </row>
        <row r="240">
          <cell r="H240">
            <v>0</v>
          </cell>
          <cell r="I240">
            <v>0</v>
          </cell>
          <cell r="J240">
            <v>0</v>
          </cell>
          <cell r="T240">
            <v>2168320</v>
          </cell>
          <cell r="U240">
            <v>72000</v>
          </cell>
          <cell r="V240">
            <v>0</v>
          </cell>
          <cell r="AF240">
            <v>0</v>
          </cell>
          <cell r="AG240">
            <v>0</v>
          </cell>
          <cell r="AH240">
            <v>0</v>
          </cell>
          <cell r="AR240">
            <v>0</v>
          </cell>
          <cell r="AS240">
            <v>0</v>
          </cell>
          <cell r="AT240">
            <v>0</v>
          </cell>
          <cell r="BD240">
            <v>0</v>
          </cell>
          <cell r="BE240">
            <v>0</v>
          </cell>
          <cell r="BF240">
            <v>0</v>
          </cell>
        </row>
        <row r="241">
          <cell r="H241">
            <v>0</v>
          </cell>
          <cell r="J241">
            <v>0</v>
          </cell>
          <cell r="T241">
            <v>0</v>
          </cell>
          <cell r="U241">
            <v>883200</v>
          </cell>
          <cell r="AF241">
            <v>0</v>
          </cell>
          <cell r="AG241">
            <v>0</v>
          </cell>
          <cell r="AH241">
            <v>0</v>
          </cell>
          <cell r="AR241">
            <v>0</v>
          </cell>
          <cell r="AS241">
            <v>0</v>
          </cell>
          <cell r="AT241">
            <v>0</v>
          </cell>
          <cell r="BD241">
            <v>0</v>
          </cell>
          <cell r="BE241">
            <v>0</v>
          </cell>
          <cell r="BF241">
            <v>0</v>
          </cell>
        </row>
        <row r="242">
          <cell r="V242">
            <v>0</v>
          </cell>
        </row>
        <row r="243">
          <cell r="H243">
            <v>0</v>
          </cell>
          <cell r="I243">
            <v>0</v>
          </cell>
          <cell r="J243">
            <v>0</v>
          </cell>
          <cell r="T243">
            <v>0</v>
          </cell>
          <cell r="U243">
            <v>4752000</v>
          </cell>
          <cell r="V243">
            <v>0</v>
          </cell>
          <cell r="AF243">
            <v>0</v>
          </cell>
          <cell r="AG243">
            <v>0</v>
          </cell>
          <cell r="AH243">
            <v>0</v>
          </cell>
          <cell r="AR243">
            <v>0</v>
          </cell>
          <cell r="AS243">
            <v>0</v>
          </cell>
          <cell r="AT243">
            <v>0</v>
          </cell>
          <cell r="BD243">
            <v>0</v>
          </cell>
          <cell r="BE243">
            <v>4752000</v>
          </cell>
          <cell r="BF243">
            <v>0</v>
          </cell>
        </row>
        <row r="244">
          <cell r="H244">
            <v>0</v>
          </cell>
          <cell r="I244">
            <v>998400</v>
          </cell>
          <cell r="J244">
            <v>0</v>
          </cell>
          <cell r="T244">
            <v>0</v>
          </cell>
          <cell r="U244">
            <v>998400</v>
          </cell>
          <cell r="V244">
            <v>0</v>
          </cell>
          <cell r="AF244">
            <v>0</v>
          </cell>
          <cell r="AG244">
            <v>998400</v>
          </cell>
          <cell r="AH244">
            <v>0</v>
          </cell>
          <cell r="AR244">
            <v>0</v>
          </cell>
          <cell r="AS244">
            <v>998400</v>
          </cell>
          <cell r="AT244">
            <v>0</v>
          </cell>
          <cell r="BD244">
            <v>0</v>
          </cell>
          <cell r="BE244">
            <v>998400</v>
          </cell>
          <cell r="BF244">
            <v>0</v>
          </cell>
        </row>
        <row r="245">
          <cell r="H245">
            <v>0</v>
          </cell>
          <cell r="I245">
            <v>1008000</v>
          </cell>
          <cell r="J245">
            <v>0</v>
          </cell>
          <cell r="T245">
            <v>0</v>
          </cell>
          <cell r="U245">
            <v>1008000</v>
          </cell>
          <cell r="V245">
            <v>0</v>
          </cell>
          <cell r="AF245">
            <v>0</v>
          </cell>
          <cell r="AG245">
            <v>1008000</v>
          </cell>
          <cell r="AH245">
            <v>0</v>
          </cell>
          <cell r="AR245">
            <v>0</v>
          </cell>
          <cell r="AS245">
            <v>1008000</v>
          </cell>
          <cell r="AT245">
            <v>0</v>
          </cell>
          <cell r="BD245">
            <v>0</v>
          </cell>
          <cell r="BE245">
            <v>1008000</v>
          </cell>
          <cell r="BF245">
            <v>0</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F0"/>
  </sheetPr>
  <dimension ref="A1:AT329"/>
  <sheetViews>
    <sheetView tabSelected="1" topLeftCell="A132" zoomScale="60" zoomScaleNormal="60" zoomScaleSheetLayoutView="87" workbookViewId="0">
      <selection activeCell="E99" sqref="E99:E104"/>
    </sheetView>
  </sheetViews>
  <sheetFormatPr defaultRowHeight="12"/>
  <cols>
    <col min="1" max="1" width="2.44140625" style="7" customWidth="1"/>
    <col min="2" max="2" width="9.44140625" style="55" customWidth="1"/>
    <col min="3" max="3" width="59.88671875" style="7" customWidth="1"/>
    <col min="4" max="4" width="19.44140625" style="7" hidden="1" customWidth="1"/>
    <col min="5" max="5" width="19.44140625" style="7" customWidth="1"/>
    <col min="6" max="6" width="15.5546875" style="59" customWidth="1"/>
    <col min="7" max="7" width="19.109375" style="59" customWidth="1"/>
    <col min="8" max="8" width="12.5546875" style="8" customWidth="1"/>
    <col min="9" max="9" width="12.33203125" style="8" customWidth="1"/>
    <col min="10" max="10" width="16.21875" style="30" customWidth="1"/>
    <col min="11" max="11" width="16" style="30" customWidth="1"/>
    <col min="12" max="12" width="17" style="38" customWidth="1"/>
    <col min="13" max="13" width="16.33203125" style="30" customWidth="1"/>
    <col min="14" max="14" width="14.33203125" style="30" customWidth="1"/>
    <col min="15" max="15" width="15.33203125" style="38" customWidth="1"/>
    <col min="16" max="16" width="16.44140625" style="30" customWidth="1"/>
    <col min="17" max="17" width="15.6640625" style="38" customWidth="1"/>
    <col min="18" max="18" width="15.88671875" style="38" customWidth="1"/>
    <col min="19" max="19" width="16.77734375" style="30" customWidth="1"/>
    <col min="20" max="20" width="15.5546875" style="38" customWidth="1"/>
    <col min="21" max="21" width="16.6640625" style="38" customWidth="1"/>
    <col min="22" max="22" width="18.6640625" style="30" customWidth="1"/>
    <col min="23" max="23" width="15.44140625" style="38" customWidth="1"/>
    <col min="24" max="24" width="16.44140625" style="38" customWidth="1"/>
    <col min="25" max="25" width="18.77734375" style="38" customWidth="1"/>
    <col min="26" max="26" width="18" style="38" customWidth="1"/>
    <col min="27" max="27" width="18.77734375" style="38" customWidth="1"/>
    <col min="28" max="28" width="16.6640625" style="30" customWidth="1"/>
    <col min="29" max="29" width="17.21875" style="38" customWidth="1"/>
    <col min="30" max="30" width="18.6640625" style="38" customWidth="1"/>
    <col min="31" max="31" width="16.109375" style="30" customWidth="1"/>
    <col min="32" max="33" width="15.5546875" style="38" customWidth="1"/>
    <col min="34" max="34" width="15.109375" style="38" customWidth="1"/>
    <col min="35" max="35" width="15.33203125" style="30" customWidth="1"/>
    <col min="36" max="36" width="15.5546875" style="38" customWidth="1"/>
    <col min="37" max="37" width="16.6640625" style="38" customWidth="1"/>
    <col min="38" max="38" width="18" style="38" customWidth="1"/>
    <col min="39" max="39" width="15.33203125" style="23" customWidth="1"/>
    <col min="40" max="40" width="13.5546875" style="23" customWidth="1"/>
    <col min="41" max="41" width="18" style="23" customWidth="1"/>
    <col min="42" max="42" width="16.6640625" style="23" customWidth="1"/>
    <col min="43" max="43" width="15.109375" style="23" customWidth="1"/>
    <col min="44" max="44" width="16.5546875" style="23" customWidth="1"/>
    <col min="45" max="45" width="15.5546875" style="23" customWidth="1"/>
    <col min="46" max="46" width="8.88671875" style="23"/>
    <col min="47" max="16384" width="8.88671875" style="7"/>
  </cols>
  <sheetData>
    <row r="1" spans="2:38" ht="12.6" thickBot="1">
      <c r="C1" s="6"/>
      <c r="D1" s="6"/>
      <c r="E1" s="6"/>
      <c r="F1" s="55"/>
    </row>
    <row r="2" spans="2:38" ht="39" customHeight="1" thickBot="1">
      <c r="B2" s="293" t="s">
        <v>359</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5"/>
    </row>
    <row r="3" spans="2:38" ht="39" customHeight="1" thickBot="1">
      <c r="B3" s="293" t="s">
        <v>426</v>
      </c>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7"/>
    </row>
    <row r="4" spans="2:38" ht="43.5" customHeight="1" thickBot="1">
      <c r="B4" s="290" t="s">
        <v>778</v>
      </c>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7"/>
    </row>
    <row r="5" spans="2:38" ht="30.75" customHeight="1">
      <c r="B5" s="304" t="s">
        <v>0</v>
      </c>
      <c r="C5" s="310" t="s">
        <v>111</v>
      </c>
      <c r="D5" s="310" t="s">
        <v>1</v>
      </c>
      <c r="E5" s="164" t="s">
        <v>112</v>
      </c>
      <c r="F5" s="310" t="s">
        <v>747</v>
      </c>
      <c r="G5" s="310"/>
      <c r="H5" s="298" t="s">
        <v>116</v>
      </c>
      <c r="I5" s="298"/>
      <c r="J5" s="311" t="s">
        <v>119</v>
      </c>
      <c r="K5" s="311"/>
      <c r="L5" s="311"/>
      <c r="M5" s="311" t="s">
        <v>120</v>
      </c>
      <c r="N5" s="311"/>
      <c r="O5" s="311"/>
      <c r="P5" s="311" t="s">
        <v>121</v>
      </c>
      <c r="Q5" s="314"/>
      <c r="R5" s="314"/>
      <c r="S5" s="312" t="s">
        <v>122</v>
      </c>
      <c r="T5" s="312"/>
      <c r="U5" s="312"/>
      <c r="V5" s="312" t="s">
        <v>123</v>
      </c>
      <c r="W5" s="312"/>
      <c r="X5" s="312"/>
      <c r="Y5" s="312" t="s">
        <v>124</v>
      </c>
      <c r="Z5" s="314"/>
      <c r="AA5" s="314"/>
      <c r="AB5" s="311" t="s">
        <v>125</v>
      </c>
      <c r="AC5" s="311"/>
      <c r="AD5" s="311"/>
      <c r="AE5" s="311"/>
      <c r="AF5" s="311"/>
      <c r="AG5" s="311"/>
      <c r="AH5" s="311"/>
      <c r="AI5" s="311" t="s">
        <v>131</v>
      </c>
      <c r="AJ5" s="317"/>
      <c r="AK5" s="317"/>
      <c r="AL5" s="323" t="s">
        <v>132</v>
      </c>
    </row>
    <row r="6" spans="2:38" ht="48" customHeight="1">
      <c r="B6" s="305"/>
      <c r="C6" s="308"/>
      <c r="D6" s="308"/>
      <c r="E6" s="308" t="s">
        <v>113</v>
      </c>
      <c r="F6" s="318" t="s">
        <v>114</v>
      </c>
      <c r="G6" s="318" t="s">
        <v>115</v>
      </c>
      <c r="H6" s="320" t="s">
        <v>117</v>
      </c>
      <c r="I6" s="320" t="s">
        <v>117</v>
      </c>
      <c r="J6" s="299"/>
      <c r="K6" s="299"/>
      <c r="L6" s="299"/>
      <c r="M6" s="299"/>
      <c r="N6" s="299"/>
      <c r="O6" s="299"/>
      <c r="P6" s="315"/>
      <c r="Q6" s="315"/>
      <c r="R6" s="315"/>
      <c r="S6" s="313"/>
      <c r="T6" s="313"/>
      <c r="U6" s="313"/>
      <c r="V6" s="313"/>
      <c r="W6" s="313"/>
      <c r="X6" s="313"/>
      <c r="Y6" s="315"/>
      <c r="Z6" s="315"/>
      <c r="AA6" s="315"/>
      <c r="AB6" s="299" t="s">
        <v>127</v>
      </c>
      <c r="AC6" s="300"/>
      <c r="AD6" s="300"/>
      <c r="AE6" s="299" t="s">
        <v>128</v>
      </c>
      <c r="AF6" s="301"/>
      <c r="AG6" s="301"/>
      <c r="AH6" s="301"/>
      <c r="AI6" s="316" t="s">
        <v>134</v>
      </c>
      <c r="AJ6" s="316"/>
      <c r="AK6" s="316"/>
      <c r="AL6" s="324"/>
    </row>
    <row r="7" spans="2:38" ht="57.6" customHeight="1" thickBot="1">
      <c r="B7" s="306"/>
      <c r="C7" s="322"/>
      <c r="D7" s="322"/>
      <c r="E7" s="322"/>
      <c r="F7" s="319"/>
      <c r="G7" s="319"/>
      <c r="H7" s="321"/>
      <c r="I7" s="321"/>
      <c r="J7" s="205" t="s">
        <v>87</v>
      </c>
      <c r="K7" s="206" t="s">
        <v>88</v>
      </c>
      <c r="L7" s="206" t="s">
        <v>118</v>
      </c>
      <c r="M7" s="205" t="s">
        <v>87</v>
      </c>
      <c r="N7" s="206" t="s">
        <v>88</v>
      </c>
      <c r="O7" s="206" t="s">
        <v>92</v>
      </c>
      <c r="P7" s="205" t="s">
        <v>87</v>
      </c>
      <c r="Q7" s="206" t="s">
        <v>88</v>
      </c>
      <c r="R7" s="206" t="s">
        <v>92</v>
      </c>
      <c r="S7" s="205" t="s">
        <v>87</v>
      </c>
      <c r="T7" s="206" t="s">
        <v>88</v>
      </c>
      <c r="U7" s="206" t="s">
        <v>92</v>
      </c>
      <c r="V7" s="205" t="s">
        <v>87</v>
      </c>
      <c r="W7" s="206" t="s">
        <v>88</v>
      </c>
      <c r="X7" s="206" t="s">
        <v>92</v>
      </c>
      <c r="Y7" s="206" t="s">
        <v>87</v>
      </c>
      <c r="Z7" s="206" t="s">
        <v>88</v>
      </c>
      <c r="AA7" s="206" t="s">
        <v>92</v>
      </c>
      <c r="AB7" s="205" t="s">
        <v>87</v>
      </c>
      <c r="AC7" s="206" t="s">
        <v>88</v>
      </c>
      <c r="AD7" s="206" t="s">
        <v>126</v>
      </c>
      <c r="AE7" s="205" t="s">
        <v>87</v>
      </c>
      <c r="AF7" s="206" t="s">
        <v>88</v>
      </c>
      <c r="AG7" s="206" t="s">
        <v>129</v>
      </c>
      <c r="AH7" s="206" t="s">
        <v>130</v>
      </c>
      <c r="AI7" s="205" t="s">
        <v>87</v>
      </c>
      <c r="AJ7" s="206" t="s">
        <v>88</v>
      </c>
      <c r="AK7" s="206" t="s">
        <v>126</v>
      </c>
      <c r="AL7" s="207"/>
    </row>
    <row r="8" spans="2:38" ht="44.4" customHeight="1">
      <c r="B8" s="161">
        <v>1.1000000000000001</v>
      </c>
      <c r="C8" s="283" t="s">
        <v>442</v>
      </c>
      <c r="D8" s="284"/>
      <c r="E8" s="208"/>
      <c r="F8" s="71"/>
      <c r="G8" s="71"/>
      <c r="H8" s="72"/>
      <c r="I8" s="72"/>
      <c r="J8" s="70"/>
      <c r="K8" s="70"/>
      <c r="L8" s="67"/>
      <c r="M8" s="70"/>
      <c r="N8" s="70"/>
      <c r="O8" s="67"/>
      <c r="P8" s="209"/>
      <c r="Q8" s="67"/>
      <c r="R8" s="67"/>
      <c r="S8" s="209"/>
      <c r="T8" s="67"/>
      <c r="U8" s="67"/>
      <c r="V8" s="209"/>
      <c r="W8" s="67"/>
      <c r="X8" s="67"/>
      <c r="Y8" s="67"/>
      <c r="Z8" s="67"/>
      <c r="AA8" s="67"/>
      <c r="AB8" s="209"/>
      <c r="AC8" s="67"/>
      <c r="AD8" s="67"/>
      <c r="AE8" s="209"/>
      <c r="AF8" s="67"/>
      <c r="AG8" s="67"/>
      <c r="AH8" s="67"/>
      <c r="AI8" s="209"/>
      <c r="AJ8" s="67"/>
      <c r="AK8" s="67"/>
      <c r="AL8" s="68"/>
    </row>
    <row r="9" spans="2:38" ht="27.6" customHeight="1">
      <c r="B9" s="162"/>
      <c r="C9" s="113" t="s">
        <v>141</v>
      </c>
      <c r="D9" s="165"/>
      <c r="E9" s="165"/>
      <c r="F9" s="10"/>
      <c r="G9" s="10"/>
      <c r="H9" s="11"/>
      <c r="I9" s="11"/>
      <c r="J9" s="31"/>
      <c r="K9" s="31"/>
      <c r="L9" s="32"/>
      <c r="M9" s="31"/>
      <c r="N9" s="31"/>
      <c r="O9" s="32"/>
      <c r="P9" s="33"/>
      <c r="Q9" s="32"/>
      <c r="R9" s="32"/>
      <c r="S9" s="33"/>
      <c r="T9" s="32"/>
      <c r="U9" s="32"/>
      <c r="V9" s="33"/>
      <c r="W9" s="32"/>
      <c r="X9" s="32"/>
      <c r="Y9" s="32"/>
      <c r="Z9" s="32"/>
      <c r="AA9" s="32"/>
      <c r="AB9" s="33"/>
      <c r="AC9" s="32"/>
      <c r="AD9" s="32"/>
      <c r="AE9" s="33"/>
      <c r="AF9" s="32"/>
      <c r="AG9" s="32"/>
      <c r="AH9" s="32"/>
      <c r="AI9" s="33"/>
      <c r="AJ9" s="32"/>
      <c r="AK9" s="32"/>
      <c r="AL9" s="35"/>
    </row>
    <row r="10" spans="2:38" ht="69.599999999999994" customHeight="1">
      <c r="B10" s="162" t="s">
        <v>3</v>
      </c>
      <c r="C10" s="186" t="s">
        <v>520</v>
      </c>
      <c r="D10" s="94"/>
      <c r="E10" s="187" t="s">
        <v>428</v>
      </c>
      <c r="F10" s="10" t="s">
        <v>168</v>
      </c>
      <c r="G10" s="10" t="s">
        <v>514</v>
      </c>
      <c r="H10" s="181">
        <v>2021</v>
      </c>
      <c r="I10" s="181">
        <v>2021</v>
      </c>
      <c r="J10" s="31">
        <f>'[1]Summary for IPSIS'!$H$8+'[1]Summary for IPSIS'!$I$8</f>
        <v>994000</v>
      </c>
      <c r="K10" s="31">
        <f>'[1]Summary for IPSIS'!$J$8</f>
        <v>0</v>
      </c>
      <c r="L10" s="32">
        <f>J10+K10</f>
        <v>994000</v>
      </c>
      <c r="M10" s="31">
        <f>'[1]Summary for IPSIS'!$T$8+'[1]Summary for IPSIS'!$U$8</f>
        <v>90440</v>
      </c>
      <c r="N10" s="31">
        <f>'[1]Summary for IPSIS'!$V$8</f>
        <v>0</v>
      </c>
      <c r="O10" s="32">
        <f>M10+N10</f>
        <v>90440</v>
      </c>
      <c r="P10" s="33">
        <f>'[1]Summary for IPSIS'!$AF$8+'[1]Summary for IPSIS'!$AG$8</f>
        <v>90440</v>
      </c>
      <c r="Q10" s="32">
        <f>'[1]Summary for IPSIS'!$AH$8</f>
        <v>0</v>
      </c>
      <c r="R10" s="32">
        <f>P10+Q10</f>
        <v>90440</v>
      </c>
      <c r="S10" s="33">
        <f>'[1]Summary for IPSIS'!$AR$8+'[1]Summary for IPSIS'!$AS$8</f>
        <v>90440</v>
      </c>
      <c r="T10" s="32">
        <f>'[1]Summary for IPSIS'!$AT$8</f>
        <v>0</v>
      </c>
      <c r="U10" s="32">
        <f>S10+T10</f>
        <v>90440</v>
      </c>
      <c r="V10" s="33">
        <f>'[1]Summary for IPSIS'!$BD$8+'[1]Summary for IPSIS'!$BE$8</f>
        <v>90440</v>
      </c>
      <c r="W10" s="32">
        <f>'[1]Summary for IPSIS'!$BF$8</f>
        <v>0</v>
      </c>
      <c r="X10" s="32">
        <f>V10+W10</f>
        <v>90440</v>
      </c>
      <c r="Y10" s="32">
        <f>J10+M10+P10+S10+V10</f>
        <v>1355760</v>
      </c>
      <c r="Z10" s="32">
        <f>K10+N10+Q10+T10+W10</f>
        <v>0</v>
      </c>
      <c r="AA10" s="32">
        <f>Y10+Z10</f>
        <v>1355760</v>
      </c>
      <c r="AB10" s="33">
        <f>994000+90440+90440</f>
        <v>1174880</v>
      </c>
      <c r="AC10" s="32">
        <f>0</f>
        <v>0</v>
      </c>
      <c r="AD10" s="32">
        <f>AB10+AC10</f>
        <v>1174880</v>
      </c>
      <c r="AE10" s="33">
        <f>0</f>
        <v>0</v>
      </c>
      <c r="AF10" s="32">
        <f>0</f>
        <v>0</v>
      </c>
      <c r="AG10" s="32"/>
      <c r="AH10" s="32">
        <f t="shared" ref="AH10:AH21" si="0">AE10+AF10</f>
        <v>0</v>
      </c>
      <c r="AI10" s="33">
        <f>90440+90440</f>
        <v>180880</v>
      </c>
      <c r="AJ10" s="32">
        <f>0</f>
        <v>0</v>
      </c>
      <c r="AK10" s="32">
        <f>AI10+AJ10</f>
        <v>180880</v>
      </c>
      <c r="AL10" s="210">
        <f>SUM(AK10+AH10+AD10)-AA10</f>
        <v>0</v>
      </c>
    </row>
    <row r="11" spans="2:38" ht="67.2" customHeight="1">
      <c r="B11" s="162" t="s">
        <v>4</v>
      </c>
      <c r="C11" s="186" t="s">
        <v>427</v>
      </c>
      <c r="D11" s="94"/>
      <c r="E11" s="187" t="s">
        <v>429</v>
      </c>
      <c r="F11" s="10" t="s">
        <v>168</v>
      </c>
      <c r="G11" s="10" t="s">
        <v>515</v>
      </c>
      <c r="H11" s="181">
        <v>2021</v>
      </c>
      <c r="I11" s="181">
        <v>2023</v>
      </c>
      <c r="J11" s="31">
        <f>'[1]Summary for IPSIS'!$H$9+'[1]Summary for IPSIS'!$I$9</f>
        <v>456000</v>
      </c>
      <c r="K11" s="31">
        <f>'[1]Summary for IPSIS'!$J$9</f>
        <v>0</v>
      </c>
      <c r="L11" s="32">
        <f>J11+K11</f>
        <v>456000</v>
      </c>
      <c r="M11" s="31">
        <f>'[1]Summary for IPSIS'!$T$9+'[1]Summary for IPSIS'!$U$9</f>
        <v>11858496</v>
      </c>
      <c r="N11" s="31">
        <f>'[1]Summary for IPSIS'!$V$9</f>
        <v>0</v>
      </c>
      <c r="O11" s="32">
        <f t="shared" ref="O11:O21" si="1">M11+N11</f>
        <v>11858496</v>
      </c>
      <c r="P11" s="33">
        <f>'[1]Summary for IPSIS'!$AF$9+'[1]Summary for IPSIS'!$AG$9</f>
        <v>11402496</v>
      </c>
      <c r="Q11" s="32">
        <f>'[1]Summary for IPSIS'!$AH$9</f>
        <v>0</v>
      </c>
      <c r="R11" s="32">
        <f t="shared" ref="R11:R21" si="2">P11+Q11</f>
        <v>11402496</v>
      </c>
      <c r="S11" s="33">
        <f>'[1]Summary for IPSIS'!$AR$9+'[1]Summary for IPSIS'!$AS$9</f>
        <v>11402496</v>
      </c>
      <c r="T11" s="32">
        <f>'[1]Summary for IPSIS'!$AT$9</f>
        <v>0</v>
      </c>
      <c r="U11" s="32">
        <f t="shared" ref="U11:U21" si="3">S11+T11</f>
        <v>11402496</v>
      </c>
      <c r="V11" s="33">
        <f>'[1]Summary for IPSIS'!$BD$9+'[1]Summary for IPSIS'!$BE$9</f>
        <v>11402496</v>
      </c>
      <c r="W11" s="32">
        <f>'[1]Summary for IPSIS'!$BF$9</f>
        <v>0</v>
      </c>
      <c r="X11" s="32">
        <f t="shared" ref="X11:X21" si="4">V11+W11</f>
        <v>11402496</v>
      </c>
      <c r="Y11" s="32">
        <f t="shared" ref="Y11:Y21" si="5">J11+M11+P11+S11+V11</f>
        <v>46521984</v>
      </c>
      <c r="Z11" s="32">
        <f t="shared" ref="Z11:Z21" si="6">K11+N11+Q11+T11+W11</f>
        <v>0</v>
      </c>
      <c r="AA11" s="32">
        <f t="shared" ref="AA11:AA21" si="7">Y11+Z11</f>
        <v>46521984</v>
      </c>
      <c r="AB11" s="33">
        <v>11402496</v>
      </c>
      <c r="AC11" s="32">
        <f>0</f>
        <v>0</v>
      </c>
      <c r="AD11" s="32">
        <f t="shared" ref="AD11:AD21" si="8">AB11+AC11</f>
        <v>11402496</v>
      </c>
      <c r="AE11" s="33">
        <f>0</f>
        <v>0</v>
      </c>
      <c r="AF11" s="33">
        <f>0</f>
        <v>0</v>
      </c>
      <c r="AG11" s="32"/>
      <c r="AH11" s="32">
        <f t="shared" si="0"/>
        <v>0</v>
      </c>
      <c r="AI11" s="33">
        <f>11402496+11402496</f>
        <v>22804992</v>
      </c>
      <c r="AJ11" s="32">
        <f>0</f>
        <v>0</v>
      </c>
      <c r="AK11" s="32">
        <f t="shared" ref="AK11:AK21" si="9">AI11+AJ11</f>
        <v>22804992</v>
      </c>
      <c r="AL11" s="210">
        <f t="shared" ref="AL11:AL21" si="10">SUM(AK11+AH11+AD11)-AA11</f>
        <v>-12314496</v>
      </c>
    </row>
    <row r="12" spans="2:38" ht="67.2" customHeight="1">
      <c r="B12" s="162" t="s">
        <v>5</v>
      </c>
      <c r="C12" s="188" t="s">
        <v>435</v>
      </c>
      <c r="D12" s="94"/>
      <c r="E12" s="189" t="s">
        <v>428</v>
      </c>
      <c r="F12" s="10" t="s">
        <v>168</v>
      </c>
      <c r="G12" s="10" t="s">
        <v>516</v>
      </c>
      <c r="H12" s="181">
        <v>2021</v>
      </c>
      <c r="I12" s="181">
        <v>2025</v>
      </c>
      <c r="J12" s="31">
        <f>'[1]Summary for IPSIS'!$H$10+'[1]Summary for IPSIS'!$I$10</f>
        <v>204880</v>
      </c>
      <c r="K12" s="31">
        <f>'[1]Summary for IPSIS'!$J$10</f>
        <v>0</v>
      </c>
      <c r="L12" s="32">
        <f>J12+K12</f>
        <v>204880</v>
      </c>
      <c r="M12" s="31">
        <f>'[1]Summary for IPSIS'!$T$10+'[1]Summary for IPSIS'!$U$10</f>
        <v>102440</v>
      </c>
      <c r="N12" s="31">
        <f>'[1]Summary for IPSIS'!$V$10</f>
        <v>0</v>
      </c>
      <c r="O12" s="32">
        <f t="shared" si="1"/>
        <v>102440</v>
      </c>
      <c r="P12" s="33">
        <f>'[1]Summary for IPSIS'!$AF$10+'[1]Summary for IPSIS'!$AG$10</f>
        <v>102440</v>
      </c>
      <c r="Q12" s="32">
        <f>'[1]Summary for IPSIS'!$AH$10</f>
        <v>0</v>
      </c>
      <c r="R12" s="32">
        <f t="shared" si="2"/>
        <v>102440</v>
      </c>
      <c r="S12" s="33">
        <f>'[1]Summary for IPSIS'!$AR$10+'[1]Summary for IPSIS'!$AS$10</f>
        <v>102440</v>
      </c>
      <c r="T12" s="32">
        <f>'[1]Summary for IPSIS'!$AT$10</f>
        <v>0</v>
      </c>
      <c r="U12" s="32">
        <f t="shared" si="3"/>
        <v>102440</v>
      </c>
      <c r="V12" s="33">
        <f>'[1]Summary for IPSIS'!$BD$10+'[1]Summary for IPSIS'!$BE$10</f>
        <v>102440</v>
      </c>
      <c r="W12" s="32">
        <f>'[1]Summary for IPSIS'!$BF$10</f>
        <v>0</v>
      </c>
      <c r="X12" s="32">
        <f t="shared" si="4"/>
        <v>102440</v>
      </c>
      <c r="Y12" s="32">
        <f t="shared" si="5"/>
        <v>614640</v>
      </c>
      <c r="Z12" s="32">
        <f t="shared" si="6"/>
        <v>0</v>
      </c>
      <c r="AA12" s="32">
        <f t="shared" si="7"/>
        <v>614640</v>
      </c>
      <c r="AB12" s="33">
        <f>204880+102440+102440</f>
        <v>409760</v>
      </c>
      <c r="AC12" s="32">
        <f>0</f>
        <v>0</v>
      </c>
      <c r="AD12" s="32">
        <f t="shared" si="8"/>
        <v>409760</v>
      </c>
      <c r="AE12" s="33">
        <f>0</f>
        <v>0</v>
      </c>
      <c r="AF12" s="33">
        <f>0</f>
        <v>0</v>
      </c>
      <c r="AG12" s="32"/>
      <c r="AH12" s="32">
        <f t="shared" si="0"/>
        <v>0</v>
      </c>
      <c r="AI12" s="33">
        <f>102440+102440</f>
        <v>204880</v>
      </c>
      <c r="AJ12" s="32">
        <f>0</f>
        <v>0</v>
      </c>
      <c r="AK12" s="32">
        <f t="shared" si="9"/>
        <v>204880</v>
      </c>
      <c r="AL12" s="210">
        <f t="shared" si="10"/>
        <v>0</v>
      </c>
    </row>
    <row r="13" spans="2:38" ht="67.2" customHeight="1">
      <c r="B13" s="162" t="s">
        <v>430</v>
      </c>
      <c r="C13" s="188" t="s">
        <v>521</v>
      </c>
      <c r="D13" s="94"/>
      <c r="E13" s="189" t="s">
        <v>428</v>
      </c>
      <c r="F13" s="10" t="s">
        <v>168</v>
      </c>
      <c r="G13" s="10" t="s">
        <v>517</v>
      </c>
      <c r="H13" s="181">
        <v>2021</v>
      </c>
      <c r="I13" s="181">
        <v>2025</v>
      </c>
      <c r="J13" s="31">
        <f>'[1]Summary for IPSIS'!$H$11+'[1]Summary for IPSIS'!$I$11</f>
        <v>292640</v>
      </c>
      <c r="K13" s="31">
        <f>'[1]Summary for IPSIS'!$J$11</f>
        <v>0</v>
      </c>
      <c r="L13" s="32">
        <f>J13+K13</f>
        <v>292640</v>
      </c>
      <c r="M13" s="31">
        <f>'[1]Summary for IPSIS'!$T$11+'[1]Summary for IPSIS'!$U$11</f>
        <v>292640</v>
      </c>
      <c r="N13" s="31">
        <f>'[1]Summary for IPSIS'!$V$11</f>
        <v>0</v>
      </c>
      <c r="O13" s="32">
        <f t="shared" si="1"/>
        <v>292640</v>
      </c>
      <c r="P13" s="33">
        <f>'[1]Summary for IPSIS'!$AF$11+'[1]Summary for IPSIS'!$AG$11</f>
        <v>787424</v>
      </c>
      <c r="Q13" s="32">
        <f>'[1]Summary for IPSIS'!$AH$11</f>
        <v>0</v>
      </c>
      <c r="R13" s="32">
        <f t="shared" si="2"/>
        <v>787424</v>
      </c>
      <c r="S13" s="33">
        <f>'[1]Summary for IPSIS'!$AR$11+'[1]Summary for IPSIS'!$AS$11</f>
        <v>787424</v>
      </c>
      <c r="T13" s="32">
        <f>'[1]Summary for IPSIS'!$AT$11</f>
        <v>0</v>
      </c>
      <c r="U13" s="32">
        <f t="shared" si="3"/>
        <v>787424</v>
      </c>
      <c r="V13" s="33">
        <f>'[1]Summary for IPSIS'!$BD$11+'[1]Summary for IPSIS'!$BE$11</f>
        <v>0</v>
      </c>
      <c r="W13" s="32">
        <f>'[1]Summary for IPSIS'!$BF$11</f>
        <v>0</v>
      </c>
      <c r="X13" s="32">
        <f t="shared" si="4"/>
        <v>0</v>
      </c>
      <c r="Y13" s="32">
        <f t="shared" si="5"/>
        <v>2160128</v>
      </c>
      <c r="Z13" s="32">
        <f t="shared" si="6"/>
        <v>0</v>
      </c>
      <c r="AA13" s="32">
        <f t="shared" si="7"/>
        <v>2160128</v>
      </c>
      <c r="AB13" s="33">
        <f>292640+292640+787424</f>
        <v>1372704</v>
      </c>
      <c r="AC13" s="32">
        <f>0</f>
        <v>0</v>
      </c>
      <c r="AD13" s="32">
        <f t="shared" si="8"/>
        <v>1372704</v>
      </c>
      <c r="AE13" s="33">
        <f>0</f>
        <v>0</v>
      </c>
      <c r="AF13" s="33">
        <f>0</f>
        <v>0</v>
      </c>
      <c r="AG13" s="32"/>
      <c r="AH13" s="32">
        <f t="shared" si="0"/>
        <v>0</v>
      </c>
      <c r="AI13" s="33">
        <f>787424</f>
        <v>787424</v>
      </c>
      <c r="AJ13" s="32">
        <f>0</f>
        <v>0</v>
      </c>
      <c r="AK13" s="32">
        <f t="shared" si="9"/>
        <v>787424</v>
      </c>
      <c r="AL13" s="210">
        <f t="shared" si="10"/>
        <v>0</v>
      </c>
    </row>
    <row r="14" spans="2:38" ht="67.2" customHeight="1">
      <c r="B14" s="162" t="s">
        <v>431</v>
      </c>
      <c r="C14" s="186" t="s">
        <v>522</v>
      </c>
      <c r="D14" s="94"/>
      <c r="E14" s="187" t="s">
        <v>429</v>
      </c>
      <c r="F14" s="10" t="s">
        <v>168</v>
      </c>
      <c r="G14" s="10" t="s">
        <v>518</v>
      </c>
      <c r="H14" s="181">
        <v>2021</v>
      </c>
      <c r="I14" s="181">
        <v>2025</v>
      </c>
      <c r="J14" s="31">
        <f>'[1]Summary for IPSIS'!$H$12+'[1]Summary for IPSIS'!$I$12</f>
        <v>0</v>
      </c>
      <c r="K14" s="31">
        <f>'[1]Summary for IPSIS'!$J$12</f>
        <v>0</v>
      </c>
      <c r="L14" s="32">
        <f t="shared" ref="L14:L21" si="11">J14+K14</f>
        <v>0</v>
      </c>
      <c r="M14" s="31">
        <f>'[1]Summary for IPSIS'!$T$12+'[1]Summary for IPSIS'!$U$12</f>
        <v>1479600</v>
      </c>
      <c r="N14" s="31">
        <f>'[1]Summary for IPSIS'!$V$12</f>
        <v>0</v>
      </c>
      <c r="O14" s="32">
        <f t="shared" si="1"/>
        <v>1479600</v>
      </c>
      <c r="P14" s="33">
        <f>'[1]Summary for IPSIS'!$AF$12+'[1]Summary for IPSIS'!$AG$12</f>
        <v>0</v>
      </c>
      <c r="Q14" s="32">
        <f>'[1]Summary for IPSIS'!$AH$12</f>
        <v>0</v>
      </c>
      <c r="R14" s="32">
        <f t="shared" si="2"/>
        <v>0</v>
      </c>
      <c r="S14" s="33">
        <f>'[1]Summary for IPSIS'!$AR$12+'[1]Summary for IPSIS'!$AS$12</f>
        <v>519600</v>
      </c>
      <c r="T14" s="32">
        <f>'[1]Summary for IPSIS'!$AT$12</f>
        <v>0</v>
      </c>
      <c r="U14" s="32">
        <f t="shared" si="3"/>
        <v>519600</v>
      </c>
      <c r="V14" s="33">
        <f>'[1]Summary for IPSIS'!$BD$12+'[1]Summary for IPSIS'!$BE$12</f>
        <v>960000</v>
      </c>
      <c r="W14" s="32">
        <f>'[1]Summary for IPSIS'!$BF$12</f>
        <v>0</v>
      </c>
      <c r="X14" s="32">
        <f t="shared" si="4"/>
        <v>960000</v>
      </c>
      <c r="Y14" s="32">
        <f t="shared" si="5"/>
        <v>2959200</v>
      </c>
      <c r="Z14" s="32">
        <f t="shared" si="6"/>
        <v>0</v>
      </c>
      <c r="AA14" s="32">
        <f t="shared" si="7"/>
        <v>2959200</v>
      </c>
      <c r="AB14" s="33">
        <f>0</f>
        <v>0</v>
      </c>
      <c r="AC14" s="32">
        <f>0</f>
        <v>0</v>
      </c>
      <c r="AD14" s="32">
        <f t="shared" si="8"/>
        <v>0</v>
      </c>
      <c r="AE14" s="33">
        <f>0</f>
        <v>0</v>
      </c>
      <c r="AF14" s="33">
        <f>0</f>
        <v>0</v>
      </c>
      <c r="AG14" s="32"/>
      <c r="AH14" s="32">
        <f t="shared" si="0"/>
        <v>0</v>
      </c>
      <c r="AI14" s="33">
        <f>960000</f>
        <v>960000</v>
      </c>
      <c r="AJ14" s="32">
        <v>0</v>
      </c>
      <c r="AK14" s="32">
        <f t="shared" si="9"/>
        <v>960000</v>
      </c>
      <c r="AL14" s="210">
        <f t="shared" si="10"/>
        <v>-1999200</v>
      </c>
    </row>
    <row r="15" spans="2:38" ht="67.2" customHeight="1">
      <c r="B15" s="162" t="s">
        <v>432</v>
      </c>
      <c r="C15" s="188" t="s">
        <v>523</v>
      </c>
      <c r="D15" s="94"/>
      <c r="E15" s="189" t="s">
        <v>429</v>
      </c>
      <c r="F15" s="10" t="s">
        <v>168</v>
      </c>
      <c r="G15" s="10" t="s">
        <v>518</v>
      </c>
      <c r="H15" s="181">
        <v>2021</v>
      </c>
      <c r="I15" s="181">
        <v>2025</v>
      </c>
      <c r="J15" s="31">
        <f>'[1]Summary for IPSIS'!$H$13+'[1]Summary for IPSIS'!$I$13</f>
        <v>774440</v>
      </c>
      <c r="K15" s="31">
        <f>'[1]Summary for IPSIS'!$J$13</f>
        <v>0</v>
      </c>
      <c r="L15" s="32">
        <f t="shared" si="11"/>
        <v>774440</v>
      </c>
      <c r="M15" s="31">
        <f>'[1]Summary for IPSIS'!$T$13+'[1]Summary for IPSIS'!$U$13</f>
        <v>523440</v>
      </c>
      <c r="N15" s="31">
        <f>'[1]Summary for IPSIS'!$V$13</f>
        <v>0</v>
      </c>
      <c r="O15" s="32">
        <f t="shared" si="1"/>
        <v>523440</v>
      </c>
      <c r="P15" s="33">
        <f>'[1]Summary for IPSIS'!$AF$13+'[1]Summary for IPSIS'!$AG$13</f>
        <v>0</v>
      </c>
      <c r="Q15" s="32">
        <f>'[1]Summary for IPSIS'!$AH$13</f>
        <v>0</v>
      </c>
      <c r="R15" s="32">
        <f t="shared" si="2"/>
        <v>0</v>
      </c>
      <c r="S15" s="33">
        <f>'[1]Summary for IPSIS'!$AR$13+'[1]Summary for IPSIS'!$AS$13</f>
        <v>0</v>
      </c>
      <c r="T15" s="32">
        <f>'[1]Summary for IPSIS'!$AT$13</f>
        <v>0</v>
      </c>
      <c r="U15" s="32">
        <f t="shared" si="3"/>
        <v>0</v>
      </c>
      <c r="V15" s="33">
        <f>'[1]Summary for IPSIS'!$BD$13+'[1]Summary for IPSIS'!$BE$13</f>
        <v>0</v>
      </c>
      <c r="W15" s="32">
        <f>'[1]Summary for IPSIS'!$BF$13</f>
        <v>0</v>
      </c>
      <c r="X15" s="32">
        <f t="shared" si="4"/>
        <v>0</v>
      </c>
      <c r="Y15" s="32">
        <f t="shared" si="5"/>
        <v>1297880</v>
      </c>
      <c r="Z15" s="32">
        <f t="shared" si="6"/>
        <v>0</v>
      </c>
      <c r="AA15" s="32">
        <f t="shared" si="7"/>
        <v>1297880</v>
      </c>
      <c r="AB15" s="33">
        <f>90440+90440</f>
        <v>180880</v>
      </c>
      <c r="AC15" s="32">
        <f>0</f>
        <v>0</v>
      </c>
      <c r="AD15" s="32">
        <f t="shared" si="8"/>
        <v>180880</v>
      </c>
      <c r="AE15" s="33">
        <f>0</f>
        <v>0</v>
      </c>
      <c r="AF15" s="33">
        <f>0</f>
        <v>0</v>
      </c>
      <c r="AG15" s="32"/>
      <c r="AH15" s="32">
        <f t="shared" si="0"/>
        <v>0</v>
      </c>
      <c r="AI15" s="33">
        <f>0</f>
        <v>0</v>
      </c>
      <c r="AJ15" s="32">
        <f>0</f>
        <v>0</v>
      </c>
      <c r="AK15" s="32">
        <f t="shared" si="9"/>
        <v>0</v>
      </c>
      <c r="AL15" s="210">
        <f t="shared" si="10"/>
        <v>-1117000</v>
      </c>
    </row>
    <row r="16" spans="2:38" ht="54" customHeight="1">
      <c r="B16" s="162" t="s">
        <v>433</v>
      </c>
      <c r="C16" s="188" t="s">
        <v>524</v>
      </c>
      <c r="D16" s="94"/>
      <c r="E16" s="189" t="s">
        <v>513</v>
      </c>
      <c r="F16" s="10" t="s">
        <v>195</v>
      </c>
      <c r="G16" s="10" t="s">
        <v>519</v>
      </c>
      <c r="H16" s="181">
        <v>2021</v>
      </c>
      <c r="I16" s="181">
        <v>2025</v>
      </c>
      <c r="J16" s="31">
        <f>'[1]Summary for IPSIS'!$H$14+'[1]Summary for IPSIS'!$I$14</f>
        <v>0</v>
      </c>
      <c r="K16" s="31">
        <f>'[1]Summary for IPSIS'!$J$14</f>
        <v>0</v>
      </c>
      <c r="L16" s="32">
        <f t="shared" si="11"/>
        <v>0</v>
      </c>
      <c r="M16" s="31">
        <f>'[1]Summary for IPSIS'!$T$14+'[1]Summary for IPSIS'!$U$14</f>
        <v>1243680</v>
      </c>
      <c r="N16" s="31">
        <f>'[1]Summary for IPSIS'!$V$14</f>
        <v>0</v>
      </c>
      <c r="O16" s="32">
        <f t="shared" si="1"/>
        <v>1243680</v>
      </c>
      <c r="P16" s="33">
        <f>'[1]Summary for IPSIS'!$AF$14+'[1]Summary for IPSIS'!$AG$14</f>
        <v>1243680</v>
      </c>
      <c r="Q16" s="32">
        <f>'[1]Summary for IPSIS'!$AH$14</f>
        <v>0</v>
      </c>
      <c r="R16" s="32">
        <f t="shared" si="2"/>
        <v>1243680</v>
      </c>
      <c r="S16" s="33">
        <f>'[1]Summary for IPSIS'!$AR$14+'[1]Summary for IPSIS'!$AS$14</f>
        <v>1243680</v>
      </c>
      <c r="T16" s="32">
        <f>'[1]Summary for IPSIS'!$AT$14</f>
        <v>0</v>
      </c>
      <c r="U16" s="32">
        <f t="shared" si="3"/>
        <v>1243680</v>
      </c>
      <c r="V16" s="33">
        <f>'[1]Summary for IPSIS'!$BD$14+'[1]Summary for IPSIS'!$BE$14</f>
        <v>1243680</v>
      </c>
      <c r="W16" s="32">
        <f>'[1]Summary for IPSIS'!$BF$14</f>
        <v>0</v>
      </c>
      <c r="X16" s="32">
        <f t="shared" si="4"/>
        <v>1243680</v>
      </c>
      <c r="Y16" s="32">
        <f t="shared" si="5"/>
        <v>4974720</v>
      </c>
      <c r="Z16" s="32">
        <f t="shared" si="6"/>
        <v>0</v>
      </c>
      <c r="AA16" s="32">
        <f t="shared" si="7"/>
        <v>4974720</v>
      </c>
      <c r="AB16" s="33">
        <f>1243680+1243680</f>
        <v>2487360</v>
      </c>
      <c r="AC16" s="32">
        <f>0</f>
        <v>0</v>
      </c>
      <c r="AD16" s="32">
        <f t="shared" si="8"/>
        <v>2487360</v>
      </c>
      <c r="AE16" s="33">
        <f>0</f>
        <v>0</v>
      </c>
      <c r="AF16" s="33">
        <f>0</f>
        <v>0</v>
      </c>
      <c r="AG16" s="32"/>
      <c r="AH16" s="32">
        <f t="shared" si="0"/>
        <v>0</v>
      </c>
      <c r="AI16" s="33">
        <f>1243680+1243680</f>
        <v>2487360</v>
      </c>
      <c r="AJ16" s="32">
        <f>0</f>
        <v>0</v>
      </c>
      <c r="AK16" s="32">
        <f t="shared" si="9"/>
        <v>2487360</v>
      </c>
      <c r="AL16" s="210">
        <f t="shared" si="10"/>
        <v>0</v>
      </c>
    </row>
    <row r="17" spans="2:46" ht="67.2" customHeight="1">
      <c r="B17" s="162" t="s">
        <v>434</v>
      </c>
      <c r="C17" s="188" t="s">
        <v>441</v>
      </c>
      <c r="D17" s="94"/>
      <c r="E17" s="189" t="s">
        <v>429</v>
      </c>
      <c r="F17" s="10" t="s">
        <v>168</v>
      </c>
      <c r="G17" s="10" t="s">
        <v>518</v>
      </c>
      <c r="H17" s="181">
        <v>2021</v>
      </c>
      <c r="I17" s="181">
        <v>2025</v>
      </c>
      <c r="J17" s="31">
        <f>'[1]Summary for IPSIS'!$H$15+'[1]Summary for IPSIS'!$I$15</f>
        <v>84000</v>
      </c>
      <c r="K17" s="31">
        <f>'[1]Summary for IPSIS'!$J$15</f>
        <v>0</v>
      </c>
      <c r="L17" s="32">
        <f t="shared" si="11"/>
        <v>84000</v>
      </c>
      <c r="M17" s="31">
        <f>'[1]Summary for IPSIS'!$T$15+'[1]Summary for IPSIS'!$U$15</f>
        <v>840000</v>
      </c>
      <c r="N17" s="31">
        <f>'[1]Summary for IPSIS'!$V$15</f>
        <v>0</v>
      </c>
      <c r="O17" s="32">
        <f t="shared" si="1"/>
        <v>840000</v>
      </c>
      <c r="P17" s="33">
        <f>'[1]Summary for IPSIS'!$AF$15+'[1]Summary for IPSIS'!$AG$15</f>
        <v>840000</v>
      </c>
      <c r="Q17" s="32">
        <f>'[1]Summary for IPSIS'!$AH$15</f>
        <v>0</v>
      </c>
      <c r="R17" s="32">
        <f t="shared" si="2"/>
        <v>840000</v>
      </c>
      <c r="S17" s="33">
        <f>'[1]Summary for IPSIS'!$AR$15+'[1]Summary for IPSIS'!$AS$15</f>
        <v>840000</v>
      </c>
      <c r="T17" s="32">
        <f>'[1]Summary for IPSIS'!$AT$15</f>
        <v>0</v>
      </c>
      <c r="U17" s="32">
        <f t="shared" si="3"/>
        <v>840000</v>
      </c>
      <c r="V17" s="33">
        <f>'[1]Summary for IPSIS'!$BD$15+'[1]Summary for IPSIS'!$BE$15</f>
        <v>840000</v>
      </c>
      <c r="W17" s="32">
        <f>'[1]Summary for IPSIS'!$BF$15</f>
        <v>0</v>
      </c>
      <c r="X17" s="32">
        <f t="shared" si="4"/>
        <v>840000</v>
      </c>
      <c r="Y17" s="32">
        <f t="shared" si="5"/>
        <v>3444000</v>
      </c>
      <c r="Z17" s="32">
        <f t="shared" si="6"/>
        <v>0</v>
      </c>
      <c r="AA17" s="32">
        <f t="shared" si="7"/>
        <v>3444000</v>
      </c>
      <c r="AB17" s="33">
        <f>0</f>
        <v>0</v>
      </c>
      <c r="AC17" s="32">
        <f>0</f>
        <v>0</v>
      </c>
      <c r="AD17" s="32">
        <f t="shared" si="8"/>
        <v>0</v>
      </c>
      <c r="AE17" s="33">
        <f>0</f>
        <v>0</v>
      </c>
      <c r="AF17" s="33">
        <f>0</f>
        <v>0</v>
      </c>
      <c r="AG17" s="32"/>
      <c r="AH17" s="32">
        <f t="shared" si="0"/>
        <v>0</v>
      </c>
      <c r="AI17" s="33">
        <f>0</f>
        <v>0</v>
      </c>
      <c r="AJ17" s="32">
        <f>0</f>
        <v>0</v>
      </c>
      <c r="AK17" s="32">
        <f t="shared" si="9"/>
        <v>0</v>
      </c>
      <c r="AL17" s="210">
        <f t="shared" si="10"/>
        <v>-3444000</v>
      </c>
    </row>
    <row r="18" spans="2:46" ht="51.6" customHeight="1">
      <c r="B18" s="162" t="s">
        <v>436</v>
      </c>
      <c r="C18" s="188" t="s">
        <v>525</v>
      </c>
      <c r="D18" s="94"/>
      <c r="E18" s="189" t="s">
        <v>429</v>
      </c>
      <c r="F18" s="10" t="s">
        <v>168</v>
      </c>
      <c r="G18" s="10" t="s">
        <v>518</v>
      </c>
      <c r="H18" s="181">
        <v>2021</v>
      </c>
      <c r="I18" s="181">
        <v>2025</v>
      </c>
      <c r="J18" s="31">
        <f>'[1]Summary for IPSIS'!$H$16+'[1]Summary for IPSIS'!$I$16</f>
        <v>950208</v>
      </c>
      <c r="K18" s="31">
        <f>'[1]Summary for IPSIS'!$J$16</f>
        <v>0</v>
      </c>
      <c r="L18" s="32">
        <f t="shared" si="11"/>
        <v>950208</v>
      </c>
      <c r="M18" s="31">
        <f>'[1]Summary for IPSIS'!$T$16+'[1]Summary for IPSIS'!$U$16</f>
        <v>950208</v>
      </c>
      <c r="N18" s="31">
        <f>'[1]Summary for IPSIS'!$V$16</f>
        <v>0</v>
      </c>
      <c r="O18" s="32">
        <f t="shared" si="1"/>
        <v>950208</v>
      </c>
      <c r="P18" s="33">
        <f>'[1]Summary for IPSIS'!$AF$16+'[1]Summary for IPSIS'!$AG$16</f>
        <v>950208</v>
      </c>
      <c r="Q18" s="32">
        <f>'[1]Summary for IPSIS'!$AH$16</f>
        <v>0</v>
      </c>
      <c r="R18" s="32">
        <f t="shared" si="2"/>
        <v>950208</v>
      </c>
      <c r="S18" s="33">
        <f>'[1]Summary for IPSIS'!$AR$16+'[1]Summary for IPSIS'!$AS$16</f>
        <v>950208</v>
      </c>
      <c r="T18" s="32">
        <f>'[1]Summary for IPSIS'!$AT$16</f>
        <v>0</v>
      </c>
      <c r="U18" s="32">
        <f t="shared" si="3"/>
        <v>950208</v>
      </c>
      <c r="V18" s="33">
        <f>'[1]Summary for IPSIS'!$BD$16+'[1]Summary for IPSIS'!$BE$16</f>
        <v>950208</v>
      </c>
      <c r="W18" s="32">
        <f>'[1]Summary for IPSIS'!$BF$16</f>
        <v>0</v>
      </c>
      <c r="X18" s="32">
        <f t="shared" si="4"/>
        <v>950208</v>
      </c>
      <c r="Y18" s="32">
        <f t="shared" si="5"/>
        <v>4751040</v>
      </c>
      <c r="Z18" s="32">
        <f t="shared" si="6"/>
        <v>0</v>
      </c>
      <c r="AA18" s="32">
        <f t="shared" si="7"/>
        <v>4751040</v>
      </c>
      <c r="AB18" s="33">
        <f>950208+950208+950208</f>
        <v>2850624</v>
      </c>
      <c r="AC18" s="32">
        <f>0</f>
        <v>0</v>
      </c>
      <c r="AD18" s="32">
        <f t="shared" si="8"/>
        <v>2850624</v>
      </c>
      <c r="AE18" s="33">
        <f>0</f>
        <v>0</v>
      </c>
      <c r="AF18" s="33">
        <f>0</f>
        <v>0</v>
      </c>
      <c r="AG18" s="32"/>
      <c r="AH18" s="32">
        <f t="shared" si="0"/>
        <v>0</v>
      </c>
      <c r="AI18" s="33">
        <f>950208+950208</f>
        <v>1900416</v>
      </c>
      <c r="AJ18" s="32">
        <f>0</f>
        <v>0</v>
      </c>
      <c r="AK18" s="32">
        <f t="shared" si="9"/>
        <v>1900416</v>
      </c>
      <c r="AL18" s="210">
        <f t="shared" si="10"/>
        <v>0</v>
      </c>
    </row>
    <row r="19" spans="2:46" ht="51.6" customHeight="1">
      <c r="B19" s="162" t="s">
        <v>437</v>
      </c>
      <c r="C19" s="188" t="s">
        <v>526</v>
      </c>
      <c r="D19" s="94"/>
      <c r="E19" s="189" t="s">
        <v>429</v>
      </c>
      <c r="F19" s="10" t="s">
        <v>168</v>
      </c>
      <c r="G19" s="10" t="s">
        <v>516</v>
      </c>
      <c r="H19" s="181">
        <v>2021</v>
      </c>
      <c r="I19" s="181">
        <v>2025</v>
      </c>
      <c r="J19" s="31">
        <f>'[1]Summary for IPSIS'!$H$17+'[1]Summary for IPSIS'!$I$17</f>
        <v>0</v>
      </c>
      <c r="K19" s="31">
        <f>'[1]Summary for IPSIS'!$J$17</f>
        <v>0</v>
      </c>
      <c r="L19" s="32">
        <f t="shared" si="11"/>
        <v>0</v>
      </c>
      <c r="M19" s="31">
        <f>'[1]Summary for IPSIS'!$T$17+'[1]Summary for IPSIS'!$U$17</f>
        <v>960000</v>
      </c>
      <c r="N19" s="31">
        <f>'[1]Summary for IPSIS'!$V$17</f>
        <v>0</v>
      </c>
      <c r="O19" s="32">
        <f t="shared" si="1"/>
        <v>960000</v>
      </c>
      <c r="P19" s="33">
        <f>'[1]Summary for IPSIS'!$AF$17+'[1]Summary for IPSIS'!$AG$17</f>
        <v>960000</v>
      </c>
      <c r="Q19" s="32">
        <f>'[1]Summary for IPSIS'!$AH$17</f>
        <v>0</v>
      </c>
      <c r="R19" s="32">
        <f t="shared" si="2"/>
        <v>960000</v>
      </c>
      <c r="S19" s="33">
        <f>'[1]Summary for IPSIS'!$AR$17+'[1]Summary for IPSIS'!$AS$17</f>
        <v>960000</v>
      </c>
      <c r="T19" s="32">
        <f>'[1]Summary for IPSIS'!$AT$17</f>
        <v>0</v>
      </c>
      <c r="U19" s="32">
        <f t="shared" si="3"/>
        <v>960000</v>
      </c>
      <c r="V19" s="33">
        <f>'[1]Summary for IPSIS'!$BD$17+'[1]Summary for IPSIS'!$BE$17</f>
        <v>960000</v>
      </c>
      <c r="W19" s="32">
        <f>'[1]Summary for IPSIS'!$BF$17</f>
        <v>0</v>
      </c>
      <c r="X19" s="32">
        <f t="shared" si="4"/>
        <v>960000</v>
      </c>
      <c r="Y19" s="32">
        <f t="shared" si="5"/>
        <v>3840000</v>
      </c>
      <c r="Z19" s="32">
        <f t="shared" si="6"/>
        <v>0</v>
      </c>
      <c r="AA19" s="32">
        <f t="shared" si="7"/>
        <v>3840000</v>
      </c>
      <c r="AB19" s="33">
        <f>0</f>
        <v>0</v>
      </c>
      <c r="AC19" s="32">
        <f>0</f>
        <v>0</v>
      </c>
      <c r="AD19" s="32">
        <f t="shared" si="8"/>
        <v>0</v>
      </c>
      <c r="AE19" s="33">
        <f>0</f>
        <v>0</v>
      </c>
      <c r="AF19" s="33">
        <f>0</f>
        <v>0</v>
      </c>
      <c r="AG19" s="32"/>
      <c r="AH19" s="32">
        <f t="shared" si="0"/>
        <v>0</v>
      </c>
      <c r="AI19" s="33">
        <f>0</f>
        <v>0</v>
      </c>
      <c r="AJ19" s="32">
        <f>0</f>
        <v>0</v>
      </c>
      <c r="AK19" s="32">
        <f t="shared" si="9"/>
        <v>0</v>
      </c>
      <c r="AL19" s="210">
        <f t="shared" si="10"/>
        <v>-3840000</v>
      </c>
    </row>
    <row r="20" spans="2:46" ht="45.6" customHeight="1">
      <c r="B20" s="162" t="s">
        <v>438</v>
      </c>
      <c r="C20" s="186" t="s">
        <v>527</v>
      </c>
      <c r="D20" s="94"/>
      <c r="E20" s="187" t="s">
        <v>429</v>
      </c>
      <c r="F20" s="10" t="s">
        <v>168</v>
      </c>
      <c r="G20" s="10" t="s">
        <v>516</v>
      </c>
      <c r="H20" s="181">
        <v>2022</v>
      </c>
      <c r="I20" s="181">
        <v>2025</v>
      </c>
      <c r="J20" s="31">
        <f>'[1]Summary for IPSIS'!$H$18+'[1]Summary for IPSIS'!$I$18</f>
        <v>102440</v>
      </c>
      <c r="K20" s="31">
        <f>'[1]Summary for IPSIS'!$J$18</f>
        <v>0</v>
      </c>
      <c r="L20" s="32">
        <f t="shared" si="11"/>
        <v>102440</v>
      </c>
      <c r="M20" s="31">
        <f>'[1]Summary for IPSIS'!$T$18+'[1]Summary for IPSIS'!$U$18</f>
        <v>102440</v>
      </c>
      <c r="N20" s="31">
        <f>'[1]Summary for IPSIS'!$V$18</f>
        <v>0</v>
      </c>
      <c r="O20" s="32">
        <f t="shared" si="1"/>
        <v>102440</v>
      </c>
      <c r="P20" s="33">
        <f>'[1]Summary for IPSIS'!$AF$18+'[1]Summary for IPSIS'!$AG$18</f>
        <v>102440</v>
      </c>
      <c r="Q20" s="32">
        <f>'[1]Summary for IPSIS'!$AH$18</f>
        <v>0</v>
      </c>
      <c r="R20" s="32">
        <f t="shared" si="2"/>
        <v>102440</v>
      </c>
      <c r="S20" s="33">
        <f>'[1]Summary for IPSIS'!$AR$18+'[1]Summary for IPSIS'!$AS$18</f>
        <v>102440</v>
      </c>
      <c r="T20" s="32">
        <f>'[1]Summary for IPSIS'!$AT$18</f>
        <v>0</v>
      </c>
      <c r="U20" s="32">
        <f t="shared" si="3"/>
        <v>102440</v>
      </c>
      <c r="V20" s="33">
        <f>'[1]Summary for IPSIS'!$BD$18+'[1]Summary for IPSIS'!$BE$18</f>
        <v>102440</v>
      </c>
      <c r="W20" s="32">
        <f>'[1]Summary for IPSIS'!$BF$18</f>
        <v>0</v>
      </c>
      <c r="X20" s="32">
        <f t="shared" si="4"/>
        <v>102440</v>
      </c>
      <c r="Y20" s="32">
        <f t="shared" si="5"/>
        <v>512200</v>
      </c>
      <c r="Z20" s="32">
        <f t="shared" si="6"/>
        <v>0</v>
      </c>
      <c r="AA20" s="32">
        <f t="shared" si="7"/>
        <v>512200</v>
      </c>
      <c r="AB20" s="33">
        <f>102440+102440+102440</f>
        <v>307320</v>
      </c>
      <c r="AC20" s="32">
        <f>0</f>
        <v>0</v>
      </c>
      <c r="AD20" s="32">
        <f t="shared" si="8"/>
        <v>307320</v>
      </c>
      <c r="AE20" s="33">
        <f>0</f>
        <v>0</v>
      </c>
      <c r="AF20" s="33">
        <f>0</f>
        <v>0</v>
      </c>
      <c r="AG20" s="32"/>
      <c r="AH20" s="32">
        <f t="shared" si="0"/>
        <v>0</v>
      </c>
      <c r="AI20" s="33">
        <f>102440+102440</f>
        <v>204880</v>
      </c>
      <c r="AJ20" s="32">
        <f>0</f>
        <v>0</v>
      </c>
      <c r="AK20" s="32">
        <f t="shared" si="9"/>
        <v>204880</v>
      </c>
      <c r="AL20" s="210">
        <f t="shared" si="10"/>
        <v>0</v>
      </c>
    </row>
    <row r="21" spans="2:46" ht="48" customHeight="1" thickBot="1">
      <c r="B21" s="163" t="s">
        <v>439</v>
      </c>
      <c r="C21" s="211" t="s">
        <v>528</v>
      </c>
      <c r="D21" s="212"/>
      <c r="E21" s="213" t="s">
        <v>429</v>
      </c>
      <c r="F21" s="214" t="s">
        <v>168</v>
      </c>
      <c r="G21" s="214" t="s">
        <v>516</v>
      </c>
      <c r="H21" s="182">
        <v>2025</v>
      </c>
      <c r="I21" s="182">
        <v>2025</v>
      </c>
      <c r="J21" s="215">
        <f>'[1]Summary for IPSIS'!$H$19+'[1]Summary for IPSIS'!$I$19</f>
        <v>0</v>
      </c>
      <c r="K21" s="215">
        <f>'[1]Summary for IPSIS'!$J$19</f>
        <v>0</v>
      </c>
      <c r="L21" s="69">
        <f t="shared" si="11"/>
        <v>0</v>
      </c>
      <c r="M21" s="215">
        <f>'[1]Summary for IPSIS'!$T$19+'[1]Summary for IPSIS'!$U$19</f>
        <v>0</v>
      </c>
      <c r="N21" s="215">
        <f>'[1]Summary for IPSIS'!$V$19</f>
        <v>0</v>
      </c>
      <c r="O21" s="69">
        <f t="shared" si="1"/>
        <v>0</v>
      </c>
      <c r="P21" s="216">
        <f>'[1]Summary for IPSIS'!$AF$19+'[1]Summary for IPSIS'!$AG$19</f>
        <v>0</v>
      </c>
      <c r="Q21" s="69">
        <f>'[1]Summary for IPSIS'!$AH$19</f>
        <v>0</v>
      </c>
      <c r="R21" s="69">
        <f t="shared" si="2"/>
        <v>0</v>
      </c>
      <c r="S21" s="216">
        <f>'[1]Summary for IPSIS'!$AR$19+'[1]Summary for IPSIS'!$AS$19</f>
        <v>0</v>
      </c>
      <c r="T21" s="69">
        <f>'[1]Summary for IPSIS'!$AT$19</f>
        <v>0</v>
      </c>
      <c r="U21" s="69">
        <f t="shared" si="3"/>
        <v>0</v>
      </c>
      <c r="V21" s="216">
        <f>'[1]Summary for IPSIS'!$BD$19+'[1]Summary for IPSIS'!$BE$19</f>
        <v>3600000</v>
      </c>
      <c r="W21" s="69">
        <f>'[1]Summary for IPSIS'!$BF$19</f>
        <v>0</v>
      </c>
      <c r="X21" s="69">
        <f t="shared" si="4"/>
        <v>3600000</v>
      </c>
      <c r="Y21" s="69">
        <f t="shared" si="5"/>
        <v>3600000</v>
      </c>
      <c r="Z21" s="69">
        <f t="shared" si="6"/>
        <v>0</v>
      </c>
      <c r="AA21" s="69">
        <f t="shared" si="7"/>
        <v>3600000</v>
      </c>
      <c r="AB21" s="216">
        <f>0</f>
        <v>0</v>
      </c>
      <c r="AC21" s="69">
        <f>0</f>
        <v>0</v>
      </c>
      <c r="AD21" s="69">
        <f t="shared" si="8"/>
        <v>0</v>
      </c>
      <c r="AE21" s="216">
        <f>0</f>
        <v>0</v>
      </c>
      <c r="AF21" s="216">
        <f>0</f>
        <v>0</v>
      </c>
      <c r="AG21" s="69"/>
      <c r="AH21" s="69">
        <f t="shared" si="0"/>
        <v>0</v>
      </c>
      <c r="AI21" s="216">
        <f>3600000</f>
        <v>3600000</v>
      </c>
      <c r="AJ21" s="69">
        <f>0</f>
        <v>0</v>
      </c>
      <c r="AK21" s="69">
        <f t="shared" si="9"/>
        <v>3600000</v>
      </c>
      <c r="AL21" s="217">
        <f t="shared" si="10"/>
        <v>0</v>
      </c>
    </row>
    <row r="22" spans="2:46" s="6" customFormat="1" ht="31.2" customHeight="1" thickBot="1">
      <c r="B22" s="58"/>
      <c r="C22" s="65" t="s">
        <v>440</v>
      </c>
      <c r="D22" s="66"/>
      <c r="E22" s="66"/>
      <c r="F22" s="56"/>
      <c r="G22" s="56"/>
      <c r="H22" s="56"/>
      <c r="I22" s="56"/>
      <c r="J22" s="57">
        <f t="shared" ref="J22:L22" si="12">SUM(J9:J21)</f>
        <v>3858608</v>
      </c>
      <c r="K22" s="57">
        <f t="shared" si="12"/>
        <v>0</v>
      </c>
      <c r="L22" s="57">
        <f t="shared" si="12"/>
        <v>3858608</v>
      </c>
      <c r="M22" s="57">
        <f t="shared" ref="M22:AL22" si="13">SUM(M9:M21)</f>
        <v>18443384</v>
      </c>
      <c r="N22" s="57">
        <f t="shared" si="13"/>
        <v>0</v>
      </c>
      <c r="O22" s="57">
        <f t="shared" si="13"/>
        <v>18443384</v>
      </c>
      <c r="P22" s="57">
        <f t="shared" si="13"/>
        <v>16479128</v>
      </c>
      <c r="Q22" s="57">
        <f t="shared" si="13"/>
        <v>0</v>
      </c>
      <c r="R22" s="57">
        <f t="shared" si="13"/>
        <v>16479128</v>
      </c>
      <c r="S22" s="57">
        <f t="shared" si="13"/>
        <v>16998728</v>
      </c>
      <c r="T22" s="57">
        <f t="shared" si="13"/>
        <v>0</v>
      </c>
      <c r="U22" s="57">
        <f t="shared" si="13"/>
        <v>16998728</v>
      </c>
      <c r="V22" s="57">
        <f t="shared" si="13"/>
        <v>20251704</v>
      </c>
      <c r="W22" s="57">
        <f t="shared" si="13"/>
        <v>0</v>
      </c>
      <c r="X22" s="57">
        <f t="shared" si="13"/>
        <v>20251704</v>
      </c>
      <c r="Y22" s="57">
        <f t="shared" si="13"/>
        <v>76031552</v>
      </c>
      <c r="Z22" s="57">
        <f t="shared" si="13"/>
        <v>0</v>
      </c>
      <c r="AA22" s="57">
        <f t="shared" si="13"/>
        <v>76031552</v>
      </c>
      <c r="AB22" s="57">
        <f t="shared" si="13"/>
        <v>20186024</v>
      </c>
      <c r="AC22" s="57">
        <f t="shared" si="13"/>
        <v>0</v>
      </c>
      <c r="AD22" s="57">
        <f t="shared" si="13"/>
        <v>20186024</v>
      </c>
      <c r="AE22" s="57">
        <f t="shared" si="13"/>
        <v>0</v>
      </c>
      <c r="AF22" s="57">
        <f t="shared" si="13"/>
        <v>0</v>
      </c>
      <c r="AG22" s="57">
        <f t="shared" si="13"/>
        <v>0</v>
      </c>
      <c r="AH22" s="57">
        <f t="shared" si="13"/>
        <v>0</v>
      </c>
      <c r="AI22" s="57">
        <f t="shared" si="13"/>
        <v>33130832</v>
      </c>
      <c r="AJ22" s="57">
        <f t="shared" si="13"/>
        <v>0</v>
      </c>
      <c r="AK22" s="57">
        <f t="shared" si="13"/>
        <v>33130832</v>
      </c>
      <c r="AL22" s="218">
        <f t="shared" si="13"/>
        <v>-22714696</v>
      </c>
      <c r="AM22" s="36"/>
      <c r="AN22" s="36"/>
      <c r="AO22" s="36"/>
      <c r="AP22" s="36"/>
      <c r="AQ22" s="36"/>
      <c r="AR22" s="36"/>
      <c r="AS22" s="36"/>
      <c r="AT22" s="36"/>
    </row>
    <row r="23" spans="2:46" ht="48" customHeight="1">
      <c r="B23" s="161">
        <v>1.2</v>
      </c>
      <c r="C23" s="283" t="s">
        <v>499</v>
      </c>
      <c r="D23" s="284"/>
      <c r="E23" s="208"/>
      <c r="F23" s="71"/>
      <c r="G23" s="71"/>
      <c r="H23" s="72"/>
      <c r="I23" s="72"/>
      <c r="J23" s="70"/>
      <c r="K23" s="70"/>
      <c r="L23" s="67"/>
      <c r="M23" s="70"/>
      <c r="N23" s="70"/>
      <c r="O23" s="67"/>
      <c r="P23" s="209"/>
      <c r="Q23" s="67"/>
      <c r="R23" s="67"/>
      <c r="S23" s="209"/>
      <c r="T23" s="67"/>
      <c r="U23" s="67"/>
      <c r="V23" s="209"/>
      <c r="W23" s="67"/>
      <c r="X23" s="67"/>
      <c r="Y23" s="67"/>
      <c r="Z23" s="67"/>
      <c r="AA23" s="67"/>
      <c r="AB23" s="209"/>
      <c r="AC23" s="67"/>
      <c r="AD23" s="67"/>
      <c r="AE23" s="209"/>
      <c r="AF23" s="67"/>
      <c r="AG23" s="67"/>
      <c r="AH23" s="67"/>
      <c r="AI23" s="209"/>
      <c r="AJ23" s="67"/>
      <c r="AK23" s="67"/>
      <c r="AL23" s="68"/>
    </row>
    <row r="24" spans="2:46" ht="29.4" customHeight="1">
      <c r="B24" s="162"/>
      <c r="C24" s="113" t="s">
        <v>141</v>
      </c>
      <c r="D24" s="165"/>
      <c r="E24" s="165"/>
      <c r="F24" s="10"/>
      <c r="G24" s="10"/>
      <c r="H24" s="114"/>
      <c r="I24" s="114"/>
      <c r="J24" s="31"/>
      <c r="K24" s="31"/>
      <c r="L24" s="32"/>
      <c r="M24" s="31"/>
      <c r="N24" s="31"/>
      <c r="O24" s="32"/>
      <c r="P24" s="33"/>
      <c r="Q24" s="32"/>
      <c r="R24" s="32"/>
      <c r="S24" s="33"/>
      <c r="T24" s="32"/>
      <c r="U24" s="32"/>
      <c r="V24" s="33"/>
      <c r="W24" s="32"/>
      <c r="X24" s="32"/>
      <c r="Y24" s="32"/>
      <c r="Z24" s="32"/>
      <c r="AA24" s="32"/>
      <c r="AB24" s="33"/>
      <c r="AC24" s="32"/>
      <c r="AD24" s="32"/>
      <c r="AE24" s="33"/>
      <c r="AF24" s="32"/>
      <c r="AG24" s="32"/>
      <c r="AH24" s="32"/>
      <c r="AI24" s="33"/>
      <c r="AJ24" s="32"/>
      <c r="AK24" s="32"/>
      <c r="AL24" s="35"/>
    </row>
    <row r="25" spans="2:46" ht="67.8" customHeight="1">
      <c r="B25" s="162" t="s">
        <v>6</v>
      </c>
      <c r="C25" s="188" t="s">
        <v>550</v>
      </c>
      <c r="D25" s="188" t="s">
        <v>533</v>
      </c>
      <c r="E25" s="189" t="s">
        <v>428</v>
      </c>
      <c r="F25" s="17" t="s">
        <v>565</v>
      </c>
      <c r="G25" s="17" t="s">
        <v>564</v>
      </c>
      <c r="H25" s="181">
        <v>2021</v>
      </c>
      <c r="I25" s="181">
        <v>2025</v>
      </c>
      <c r="J25" s="31">
        <f>'[1]Summary for IPSIS'!$H$21+'[1]Summary for IPSIS'!$I$21</f>
        <v>271040</v>
      </c>
      <c r="K25" s="31">
        <f>'[1]Summary for IPSIS'!$J$21</f>
        <v>0</v>
      </c>
      <c r="L25" s="32">
        <f>J25+K25</f>
        <v>271040</v>
      </c>
      <c r="M25" s="31">
        <f>'[1]Summary for IPSIS'!$T$21+'[1]Summary for IPSIS'!$U$21</f>
        <v>271040</v>
      </c>
      <c r="N25" s="31">
        <f>'[1]Summary for IPSIS'!$V$21</f>
        <v>0</v>
      </c>
      <c r="O25" s="32">
        <f>M25+N25</f>
        <v>271040</v>
      </c>
      <c r="P25" s="33">
        <f>'[1]Summary for IPSIS'!$AF$21+'[1]Summary for IPSIS'!$AG$21</f>
        <v>165600</v>
      </c>
      <c r="Q25" s="32">
        <f>'[1]Summary for IPSIS'!$AH$21</f>
        <v>0</v>
      </c>
      <c r="R25" s="32">
        <f>P25+Q25</f>
        <v>165600</v>
      </c>
      <c r="S25" s="33">
        <f>'[1]Summary for IPSIS'!$AR$21+'[1]Summary for IPSIS'!$AS$21</f>
        <v>542080</v>
      </c>
      <c r="T25" s="32">
        <f>'[1]Summary for IPSIS'!$AT$21</f>
        <v>0</v>
      </c>
      <c r="U25" s="32">
        <f>S25+T25</f>
        <v>542080</v>
      </c>
      <c r="V25" s="33">
        <f>'[1]Summary for IPSIS'!$BD$21+'[1]Summary for IPSIS'!$BE$21</f>
        <v>0</v>
      </c>
      <c r="W25" s="32">
        <f>'[1]Summary for IPSIS'!$BF$21</f>
        <v>0</v>
      </c>
      <c r="X25" s="32">
        <f>V25+W25</f>
        <v>0</v>
      </c>
      <c r="Y25" s="32">
        <f>J25+M25+P25+S25+V25</f>
        <v>1249760</v>
      </c>
      <c r="Z25" s="32">
        <f>K25+N25+Q25+T25+W25</f>
        <v>0</v>
      </c>
      <c r="AA25" s="32">
        <f>Y25+Z25</f>
        <v>1249760</v>
      </c>
      <c r="AB25" s="33">
        <f>271040+271040+0</f>
        <v>542080</v>
      </c>
      <c r="AC25" s="32">
        <f>0</f>
        <v>0</v>
      </c>
      <c r="AD25" s="32">
        <f t="shared" ref="AD25:AD41" si="14">AB25+AC25</f>
        <v>542080</v>
      </c>
      <c r="AE25" s="33">
        <f>0</f>
        <v>0</v>
      </c>
      <c r="AF25" s="32">
        <f>0</f>
        <v>0</v>
      </c>
      <c r="AG25" s="39"/>
      <c r="AH25" s="39">
        <f>AE25+AF25</f>
        <v>0</v>
      </c>
      <c r="AI25" s="34">
        <f>542080+0</f>
        <v>542080</v>
      </c>
      <c r="AJ25" s="39">
        <f>0</f>
        <v>0</v>
      </c>
      <c r="AK25" s="39">
        <f>AI25+AJ25</f>
        <v>542080</v>
      </c>
      <c r="AL25" s="210">
        <f>SUM(AK25+AH25+AD25)-AA25</f>
        <v>-165600</v>
      </c>
    </row>
    <row r="26" spans="2:46" ht="68.25" customHeight="1">
      <c r="B26" s="162" t="s">
        <v>7</v>
      </c>
      <c r="C26" s="188" t="s">
        <v>551</v>
      </c>
      <c r="D26" s="188" t="s">
        <v>534</v>
      </c>
      <c r="E26" s="189" t="s">
        <v>428</v>
      </c>
      <c r="F26" s="17" t="s">
        <v>565</v>
      </c>
      <c r="G26" s="17" t="s">
        <v>566</v>
      </c>
      <c r="H26" s="181">
        <v>2021</v>
      </c>
      <c r="I26" s="181">
        <v>2025</v>
      </c>
      <c r="J26" s="31">
        <f>'[1]Summary for IPSIS'!$H$22+'[1]Summary for IPSIS'!$I$22</f>
        <v>271040</v>
      </c>
      <c r="K26" s="31">
        <f>'[1]Summary for IPSIS'!$J$22</f>
        <v>0</v>
      </c>
      <c r="L26" s="32">
        <f t="shared" ref="L26:L41" si="15">J26+K26</f>
        <v>271040</v>
      </c>
      <c r="M26" s="31">
        <f>'[1]Summary for IPSIS'!$T$22+'[1]Summary for IPSIS'!$U$22</f>
        <v>271040</v>
      </c>
      <c r="N26" s="31">
        <f>'[1]Summary for IPSIS'!$V$22</f>
        <v>0</v>
      </c>
      <c r="O26" s="32">
        <f t="shared" ref="O26:O41" si="16">M26+N26</f>
        <v>271040</v>
      </c>
      <c r="P26" s="33">
        <f>'[1]Summary for IPSIS'!$AF$22+'[1]Summary for IPSIS'!$AG$22</f>
        <v>271040</v>
      </c>
      <c r="Q26" s="32">
        <f>'[1]Summary for IPSIS'!$AH$22</f>
        <v>0</v>
      </c>
      <c r="R26" s="32">
        <f t="shared" ref="R26:R41" si="17">P26+Q26</f>
        <v>271040</v>
      </c>
      <c r="S26" s="33">
        <f>'[1]Summary for IPSIS'!$AR$22+'[1]Summary for IPSIS'!$AS$22</f>
        <v>271040</v>
      </c>
      <c r="T26" s="32">
        <f>'[1]Summary for IPSIS'!$AT$22</f>
        <v>0</v>
      </c>
      <c r="U26" s="32">
        <f t="shared" ref="U26:U41" si="18">S26+T26</f>
        <v>271040</v>
      </c>
      <c r="V26" s="33">
        <f>'[1]Summary for IPSIS'!$BD$22+'[1]Summary for IPSIS'!$BE$22</f>
        <v>271040</v>
      </c>
      <c r="W26" s="32">
        <f>'[1]Summary for IPSIS'!$BF$22</f>
        <v>0</v>
      </c>
      <c r="X26" s="32">
        <f t="shared" ref="X26:X41" si="19">V26+W26</f>
        <v>271040</v>
      </c>
      <c r="Y26" s="32">
        <f t="shared" ref="Y26:Y41" si="20">J26+M26+P26+S26+V26</f>
        <v>1355200</v>
      </c>
      <c r="Z26" s="32">
        <f t="shared" ref="Z26:Z41" si="21">K26+N26+Q26+T26+W26</f>
        <v>0</v>
      </c>
      <c r="AA26" s="32">
        <f t="shared" ref="AA26:AA41" si="22">Y26+Z26</f>
        <v>1355200</v>
      </c>
      <c r="AB26" s="33">
        <f>271040+271040+271040</f>
        <v>813120</v>
      </c>
      <c r="AC26" s="32">
        <f>0</f>
        <v>0</v>
      </c>
      <c r="AD26" s="32">
        <f t="shared" si="14"/>
        <v>813120</v>
      </c>
      <c r="AE26" s="33">
        <f>0</f>
        <v>0</v>
      </c>
      <c r="AF26" s="32">
        <f>0</f>
        <v>0</v>
      </c>
      <c r="AG26" s="39"/>
      <c r="AH26" s="39">
        <f t="shared" ref="AH26:AH41" si="23">AE26+AF26</f>
        <v>0</v>
      </c>
      <c r="AI26" s="34">
        <f>271040+271040</f>
        <v>542080</v>
      </c>
      <c r="AJ26" s="39">
        <f>0</f>
        <v>0</v>
      </c>
      <c r="AK26" s="39">
        <f t="shared" ref="AK26:AK41" si="24">AI26+AJ26</f>
        <v>542080</v>
      </c>
      <c r="AL26" s="210">
        <f t="shared" ref="AL26:AL41" si="25">SUM(AK26+AH26+AD26)-AA26</f>
        <v>0</v>
      </c>
    </row>
    <row r="27" spans="2:46" ht="57.6" customHeight="1">
      <c r="B27" s="162" t="s">
        <v>8</v>
      </c>
      <c r="C27" s="188" t="s">
        <v>552</v>
      </c>
      <c r="D27" s="188" t="s">
        <v>535</v>
      </c>
      <c r="E27" s="189" t="s">
        <v>428</v>
      </c>
      <c r="F27" s="10" t="s">
        <v>168</v>
      </c>
      <c r="G27" s="10" t="s">
        <v>565</v>
      </c>
      <c r="H27" s="181">
        <v>2021</v>
      </c>
      <c r="I27" s="181">
        <v>2025</v>
      </c>
      <c r="J27" s="31">
        <f>'[1]Summary for IPSIS'!$H$23+'[1]Summary for IPSIS'!$I$23</f>
        <v>136720</v>
      </c>
      <c r="K27" s="31">
        <f>'[1]Summary for IPSIS'!$J$23</f>
        <v>0</v>
      </c>
      <c r="L27" s="32">
        <f t="shared" si="15"/>
        <v>136720</v>
      </c>
      <c r="M27" s="31">
        <f>'[1]Summary for IPSIS'!$T$23+'[1]Summary for IPSIS'!$U$23</f>
        <v>147520</v>
      </c>
      <c r="N27" s="31">
        <f>'[1]Summary for IPSIS'!$V$23</f>
        <v>0</v>
      </c>
      <c r="O27" s="32">
        <f t="shared" si="16"/>
        <v>147520</v>
      </c>
      <c r="P27" s="33">
        <f>'[1]Summary for IPSIS'!$AF$23+'[1]Summary for IPSIS'!$AG$23</f>
        <v>147520</v>
      </c>
      <c r="Q27" s="32">
        <f>'[1]Summary for IPSIS'!$AH$23</f>
        <v>0</v>
      </c>
      <c r="R27" s="32">
        <f t="shared" si="17"/>
        <v>147520</v>
      </c>
      <c r="S27" s="33">
        <f>'[1]Summary for IPSIS'!$AR$23+'[1]Summary for IPSIS'!$AS$23</f>
        <v>147520</v>
      </c>
      <c r="T27" s="32">
        <f>'[1]Summary for IPSIS'!$AT$23</f>
        <v>0</v>
      </c>
      <c r="U27" s="32">
        <f t="shared" si="18"/>
        <v>147520</v>
      </c>
      <c r="V27" s="33">
        <f>'[1]Summary for IPSIS'!$BD$23+'[1]Summary for IPSIS'!$BE$23</f>
        <v>0</v>
      </c>
      <c r="W27" s="32">
        <f>'[1]Summary for IPSIS'!$BF$23</f>
        <v>0</v>
      </c>
      <c r="X27" s="32">
        <f t="shared" si="19"/>
        <v>0</v>
      </c>
      <c r="Y27" s="32">
        <f t="shared" si="20"/>
        <v>579280</v>
      </c>
      <c r="Z27" s="32">
        <f t="shared" si="21"/>
        <v>0</v>
      </c>
      <c r="AA27" s="32">
        <f t="shared" si="22"/>
        <v>579280</v>
      </c>
      <c r="AB27" s="33">
        <f>136720+147520+147520</f>
        <v>431760</v>
      </c>
      <c r="AC27" s="32">
        <f>0</f>
        <v>0</v>
      </c>
      <c r="AD27" s="32">
        <f t="shared" si="14"/>
        <v>431760</v>
      </c>
      <c r="AE27" s="33">
        <f>0</f>
        <v>0</v>
      </c>
      <c r="AF27" s="32">
        <f>0</f>
        <v>0</v>
      </c>
      <c r="AG27" s="32"/>
      <c r="AH27" s="39">
        <f t="shared" si="23"/>
        <v>0</v>
      </c>
      <c r="AI27" s="33">
        <f>147520+0</f>
        <v>147520</v>
      </c>
      <c r="AJ27" s="32">
        <f>0</f>
        <v>0</v>
      </c>
      <c r="AK27" s="39">
        <f t="shared" si="24"/>
        <v>147520</v>
      </c>
      <c r="AL27" s="210">
        <f t="shared" si="25"/>
        <v>0</v>
      </c>
    </row>
    <row r="28" spans="2:46" ht="50.4" customHeight="1">
      <c r="B28" s="162" t="s">
        <v>9</v>
      </c>
      <c r="C28" s="188" t="s">
        <v>457</v>
      </c>
      <c r="D28" s="188" t="s">
        <v>536</v>
      </c>
      <c r="E28" s="189" t="s">
        <v>428</v>
      </c>
      <c r="F28" s="17" t="s">
        <v>565</v>
      </c>
      <c r="G28" s="17" t="s">
        <v>567</v>
      </c>
      <c r="H28" s="181">
        <v>2021</v>
      </c>
      <c r="I28" s="181">
        <v>2025</v>
      </c>
      <c r="J28" s="31">
        <f>'[1]Summary for IPSIS'!$H$24+'[1]Summary for IPSIS'!$I$24</f>
        <v>0</v>
      </c>
      <c r="K28" s="31">
        <f>'[1]Summary for IPSIS'!$J$24</f>
        <v>0</v>
      </c>
      <c r="L28" s="32">
        <f t="shared" si="15"/>
        <v>0</v>
      </c>
      <c r="M28" s="31">
        <f>'[1]Summary for IPSIS'!$T$24+'[1]Summary for IPSIS'!$U$24</f>
        <v>837120</v>
      </c>
      <c r="N28" s="31">
        <f>'[1]Summary for IPSIS'!$V$24</f>
        <v>0</v>
      </c>
      <c r="O28" s="32">
        <f t="shared" si="16"/>
        <v>837120</v>
      </c>
      <c r="P28" s="33">
        <f>'[1]Summary for IPSIS'!$AF$24+'[1]Summary for IPSIS'!$AG$24</f>
        <v>837120</v>
      </c>
      <c r="Q28" s="32">
        <f>'[1]Summary for IPSIS'!$AH$24</f>
        <v>0</v>
      </c>
      <c r="R28" s="32">
        <f t="shared" si="17"/>
        <v>837120</v>
      </c>
      <c r="S28" s="33">
        <f>'[1]Summary for IPSIS'!$AR$24+'[1]Summary for IPSIS'!$AS$24</f>
        <v>0</v>
      </c>
      <c r="T28" s="32">
        <f>'[1]Summary for IPSIS'!$AT$24</f>
        <v>0</v>
      </c>
      <c r="U28" s="32">
        <f t="shared" si="18"/>
        <v>0</v>
      </c>
      <c r="V28" s="33">
        <f>'[1]Summary for IPSIS'!$BD$24+'[1]Summary for IPSIS'!$BE$24</f>
        <v>0</v>
      </c>
      <c r="W28" s="32">
        <f>'[1]Summary for IPSIS'!$BF$24</f>
        <v>0</v>
      </c>
      <c r="X28" s="32">
        <f t="shared" si="19"/>
        <v>0</v>
      </c>
      <c r="Y28" s="32">
        <f t="shared" si="20"/>
        <v>1674240</v>
      </c>
      <c r="Z28" s="32">
        <f t="shared" si="21"/>
        <v>0</v>
      </c>
      <c r="AA28" s="32">
        <f t="shared" si="22"/>
        <v>1674240</v>
      </c>
      <c r="AB28" s="33">
        <f>0+837120+837120</f>
        <v>1674240</v>
      </c>
      <c r="AC28" s="32">
        <f>0</f>
        <v>0</v>
      </c>
      <c r="AD28" s="32">
        <f t="shared" si="14"/>
        <v>1674240</v>
      </c>
      <c r="AE28" s="33">
        <f>0</f>
        <v>0</v>
      </c>
      <c r="AF28" s="32">
        <f>0</f>
        <v>0</v>
      </c>
      <c r="AG28" s="32"/>
      <c r="AH28" s="39">
        <f t="shared" si="23"/>
        <v>0</v>
      </c>
      <c r="AI28" s="33">
        <f>0</f>
        <v>0</v>
      </c>
      <c r="AJ28" s="32">
        <f>0</f>
        <v>0</v>
      </c>
      <c r="AK28" s="39">
        <f t="shared" si="24"/>
        <v>0</v>
      </c>
      <c r="AL28" s="210">
        <f t="shared" si="25"/>
        <v>0</v>
      </c>
    </row>
    <row r="29" spans="2:46" ht="58.2" customHeight="1">
      <c r="B29" s="162" t="s">
        <v>10</v>
      </c>
      <c r="C29" s="188" t="s">
        <v>553</v>
      </c>
      <c r="D29" s="188" t="s">
        <v>537</v>
      </c>
      <c r="E29" s="189" t="s">
        <v>428</v>
      </c>
      <c r="F29" s="17" t="s">
        <v>565</v>
      </c>
      <c r="G29" s="17" t="s">
        <v>568</v>
      </c>
      <c r="H29" s="181">
        <v>2021</v>
      </c>
      <c r="I29" s="181">
        <v>2025</v>
      </c>
      <c r="J29" s="31">
        <f>'[1]Summary for IPSIS'!$H$25+'[1]Summary for IPSIS'!$I$25</f>
        <v>0</v>
      </c>
      <c r="K29" s="31">
        <f>'[1]Summary for IPSIS'!$J$25</f>
        <v>0</v>
      </c>
      <c r="L29" s="32">
        <f t="shared" si="15"/>
        <v>0</v>
      </c>
      <c r="M29" s="31">
        <f>'[1]Summary for IPSIS'!$T$25+'[1]Summary for IPSIS'!$U$25</f>
        <v>837120</v>
      </c>
      <c r="N29" s="31">
        <f>'[1]Summary for IPSIS'!$V$25</f>
        <v>0</v>
      </c>
      <c r="O29" s="32">
        <f t="shared" si="16"/>
        <v>837120</v>
      </c>
      <c r="P29" s="33">
        <f>'[1]Summary for IPSIS'!$AF$25+'[1]Summary for IPSIS'!$AG$25</f>
        <v>837120</v>
      </c>
      <c r="Q29" s="32">
        <f>'[1]Summary for IPSIS'!$AH$25</f>
        <v>0</v>
      </c>
      <c r="R29" s="32">
        <f t="shared" si="17"/>
        <v>837120</v>
      </c>
      <c r="S29" s="33">
        <f>'[1]Summary for IPSIS'!$AR$25+'[1]Summary for IPSIS'!$AS$25</f>
        <v>837120</v>
      </c>
      <c r="T29" s="32">
        <f>'[1]Summary for IPSIS'!$AT$25</f>
        <v>0</v>
      </c>
      <c r="U29" s="32">
        <f t="shared" si="18"/>
        <v>837120</v>
      </c>
      <c r="V29" s="33">
        <f>'[1]Summary for IPSIS'!$BD$25+'[1]Summary for IPSIS'!$BE$25</f>
        <v>0</v>
      </c>
      <c r="W29" s="32">
        <f>'[1]Summary for IPSIS'!$BF$25</f>
        <v>0</v>
      </c>
      <c r="X29" s="32">
        <f t="shared" si="19"/>
        <v>0</v>
      </c>
      <c r="Y29" s="32">
        <f t="shared" si="20"/>
        <v>2511360</v>
      </c>
      <c r="Z29" s="32">
        <f t="shared" si="21"/>
        <v>0</v>
      </c>
      <c r="AA29" s="32">
        <f t="shared" si="22"/>
        <v>2511360</v>
      </c>
      <c r="AB29" s="33">
        <f>0+837120+837120</f>
        <v>1674240</v>
      </c>
      <c r="AC29" s="32">
        <f>0</f>
        <v>0</v>
      </c>
      <c r="AD29" s="32">
        <f t="shared" si="14"/>
        <v>1674240</v>
      </c>
      <c r="AE29" s="33">
        <f>0</f>
        <v>0</v>
      </c>
      <c r="AF29" s="32">
        <f>0</f>
        <v>0</v>
      </c>
      <c r="AG29" s="32"/>
      <c r="AH29" s="39">
        <f t="shared" si="23"/>
        <v>0</v>
      </c>
      <c r="AI29" s="33">
        <f>837120+0</f>
        <v>837120</v>
      </c>
      <c r="AJ29" s="32">
        <f>0</f>
        <v>0</v>
      </c>
      <c r="AK29" s="39">
        <f t="shared" si="24"/>
        <v>837120</v>
      </c>
      <c r="AL29" s="210">
        <f t="shared" si="25"/>
        <v>0</v>
      </c>
    </row>
    <row r="30" spans="2:46" ht="47.25" customHeight="1">
      <c r="B30" s="162" t="s">
        <v>444</v>
      </c>
      <c r="C30" s="186" t="s">
        <v>554</v>
      </c>
      <c r="D30" s="186" t="s">
        <v>538</v>
      </c>
      <c r="E30" s="189" t="s">
        <v>529</v>
      </c>
      <c r="F30" s="10" t="s">
        <v>188</v>
      </c>
      <c r="G30" s="10"/>
      <c r="H30" s="181">
        <v>2021</v>
      </c>
      <c r="I30" s="181">
        <v>2025</v>
      </c>
      <c r="J30" s="31">
        <f>'[1]Summary for IPSIS'!$H$26+'[1]Summary for IPSIS'!$I$26</f>
        <v>0</v>
      </c>
      <c r="K30" s="31">
        <f>'[1]Summary for IPSIS'!$J$26</f>
        <v>690000</v>
      </c>
      <c r="L30" s="32">
        <f t="shared" si="15"/>
        <v>690000</v>
      </c>
      <c r="M30" s="31">
        <f>'[1]Summary for IPSIS'!$T$26+'[1]Summary for IPSIS'!$U$26</f>
        <v>0</v>
      </c>
      <c r="N30" s="31">
        <f>'[1]Summary for IPSIS'!$V$26</f>
        <v>690000</v>
      </c>
      <c r="O30" s="32">
        <f t="shared" si="16"/>
        <v>690000</v>
      </c>
      <c r="P30" s="33">
        <f>'[1]Summary for IPSIS'!$AF$26+'[1]Summary for IPSIS'!$AG$26</f>
        <v>0</v>
      </c>
      <c r="Q30" s="32">
        <f>'[1]Summary for IPSIS'!$AH$26</f>
        <v>690000</v>
      </c>
      <c r="R30" s="32">
        <f t="shared" si="17"/>
        <v>690000</v>
      </c>
      <c r="S30" s="33">
        <f>'[1]Summary for IPSIS'!$AR$26+'[1]Summary for IPSIS'!$AS$26</f>
        <v>0</v>
      </c>
      <c r="T30" s="32">
        <f>'[1]Summary for IPSIS'!$AT$26</f>
        <v>690000</v>
      </c>
      <c r="U30" s="32">
        <f t="shared" si="18"/>
        <v>690000</v>
      </c>
      <c r="V30" s="33">
        <f>'[1]Summary for IPSIS'!$BD$26+'[1]Summary for IPSIS'!$BE$26</f>
        <v>0</v>
      </c>
      <c r="W30" s="32">
        <f>'[1]Summary for IPSIS'!$BF$26</f>
        <v>690000</v>
      </c>
      <c r="X30" s="32">
        <f t="shared" si="19"/>
        <v>690000</v>
      </c>
      <c r="Y30" s="32">
        <f t="shared" si="20"/>
        <v>0</v>
      </c>
      <c r="Z30" s="32">
        <f t="shared" si="21"/>
        <v>3450000</v>
      </c>
      <c r="AA30" s="32">
        <f t="shared" si="22"/>
        <v>3450000</v>
      </c>
      <c r="AB30" s="33">
        <f>0</f>
        <v>0</v>
      </c>
      <c r="AC30" s="32">
        <f>0</f>
        <v>0</v>
      </c>
      <c r="AD30" s="32">
        <f t="shared" si="14"/>
        <v>0</v>
      </c>
      <c r="AE30" s="33">
        <f>0</f>
        <v>0</v>
      </c>
      <c r="AF30" s="32">
        <f>3450000</f>
        <v>3450000</v>
      </c>
      <c r="AG30" s="32" t="s">
        <v>578</v>
      </c>
      <c r="AH30" s="39">
        <f t="shared" si="23"/>
        <v>3450000</v>
      </c>
      <c r="AI30" s="33">
        <f>0</f>
        <v>0</v>
      </c>
      <c r="AJ30" s="32">
        <f>0</f>
        <v>0</v>
      </c>
      <c r="AK30" s="39">
        <f t="shared" si="24"/>
        <v>0</v>
      </c>
      <c r="AL30" s="210">
        <f t="shared" si="25"/>
        <v>0</v>
      </c>
    </row>
    <row r="31" spans="2:46" ht="47.25" customHeight="1">
      <c r="B31" s="162" t="s">
        <v>445</v>
      </c>
      <c r="C31" s="188" t="s">
        <v>555</v>
      </c>
      <c r="D31" s="188" t="s">
        <v>539</v>
      </c>
      <c r="E31" s="189" t="s">
        <v>530</v>
      </c>
      <c r="F31" s="17" t="s">
        <v>565</v>
      </c>
      <c r="G31" s="17" t="s">
        <v>569</v>
      </c>
      <c r="H31" s="181">
        <v>2021</v>
      </c>
      <c r="I31" s="181">
        <v>2025</v>
      </c>
      <c r="J31" s="31">
        <f>'[1]Summary for IPSIS'!$H$27+'[1]Summary for IPSIS'!$I$27</f>
        <v>0</v>
      </c>
      <c r="K31" s="31">
        <f>'[1]Summary for IPSIS'!$J$27</f>
        <v>0</v>
      </c>
      <c r="L31" s="32">
        <f t="shared" si="15"/>
        <v>0</v>
      </c>
      <c r="M31" s="31">
        <f>'[1]Summary for IPSIS'!$T$27+'[1]Summary for IPSIS'!$U$27</f>
        <v>0</v>
      </c>
      <c r="N31" s="31">
        <f>'[1]Summary for IPSIS'!$V$27</f>
        <v>0</v>
      </c>
      <c r="O31" s="32">
        <f t="shared" si="16"/>
        <v>0</v>
      </c>
      <c r="P31" s="33">
        <f>'[1]Summary for IPSIS'!$AF$27+'[1]Summary for IPSIS'!$AG$27</f>
        <v>0</v>
      </c>
      <c r="Q31" s="32">
        <f>'[1]Summary for IPSIS'!$AH$27</f>
        <v>0</v>
      </c>
      <c r="R31" s="32">
        <f t="shared" si="17"/>
        <v>0</v>
      </c>
      <c r="S31" s="33">
        <f>'[1]Summary for IPSIS'!$AR$27+'[1]Summary for IPSIS'!$AS$27</f>
        <v>0</v>
      </c>
      <c r="T31" s="32">
        <f>'[1]Summary for IPSIS'!$AT$27</f>
        <v>0</v>
      </c>
      <c r="U31" s="32">
        <f t="shared" si="18"/>
        <v>0</v>
      </c>
      <c r="V31" s="33">
        <f>'[1]Summary for IPSIS'!$BD$27+'[1]Summary for IPSIS'!$BE$27</f>
        <v>0</v>
      </c>
      <c r="W31" s="32">
        <f>'[1]Summary for IPSIS'!$BF$27</f>
        <v>0</v>
      </c>
      <c r="X31" s="32">
        <f t="shared" si="19"/>
        <v>0</v>
      </c>
      <c r="Y31" s="32">
        <f t="shared" si="20"/>
        <v>0</v>
      </c>
      <c r="Z31" s="32">
        <f t="shared" si="21"/>
        <v>0</v>
      </c>
      <c r="AA31" s="32">
        <f t="shared" si="22"/>
        <v>0</v>
      </c>
      <c r="AB31" s="33">
        <f>0</f>
        <v>0</v>
      </c>
      <c r="AC31" s="32">
        <f>0</f>
        <v>0</v>
      </c>
      <c r="AD31" s="32">
        <f t="shared" si="14"/>
        <v>0</v>
      </c>
      <c r="AE31" s="33">
        <f>0</f>
        <v>0</v>
      </c>
      <c r="AF31" s="32">
        <f>0</f>
        <v>0</v>
      </c>
      <c r="AG31" s="32"/>
      <c r="AH31" s="39">
        <f t="shared" si="23"/>
        <v>0</v>
      </c>
      <c r="AI31" s="33">
        <f>0</f>
        <v>0</v>
      </c>
      <c r="AJ31" s="32">
        <f>0</f>
        <v>0</v>
      </c>
      <c r="AK31" s="39">
        <f t="shared" si="24"/>
        <v>0</v>
      </c>
      <c r="AL31" s="210">
        <f t="shared" si="25"/>
        <v>0</v>
      </c>
    </row>
    <row r="32" spans="2:46" ht="74.400000000000006" customHeight="1">
      <c r="B32" s="162" t="s">
        <v>446</v>
      </c>
      <c r="C32" s="188" t="s">
        <v>556</v>
      </c>
      <c r="D32" s="188" t="s">
        <v>540</v>
      </c>
      <c r="E32" s="189" t="s">
        <v>531</v>
      </c>
      <c r="F32" s="17" t="s">
        <v>565</v>
      </c>
      <c r="G32" s="16" t="s">
        <v>570</v>
      </c>
      <c r="H32" s="181">
        <v>2021</v>
      </c>
      <c r="I32" s="181">
        <v>2025</v>
      </c>
      <c r="J32" s="31">
        <f>'[1]Summary for IPSIS'!$H$28+'[1]Summary for IPSIS'!$I$28</f>
        <v>0</v>
      </c>
      <c r="K32" s="31">
        <f>'[1]Summary for IPSIS'!$J$28</f>
        <v>0</v>
      </c>
      <c r="L32" s="32">
        <f t="shared" si="15"/>
        <v>0</v>
      </c>
      <c r="M32" s="31">
        <f>'[1]Summary for IPSIS'!$T$28+'[1]Summary for IPSIS'!$U$28</f>
        <v>1011168</v>
      </c>
      <c r="N32" s="31">
        <f>'[1]Summary for IPSIS'!$V$28</f>
        <v>27600000</v>
      </c>
      <c r="O32" s="32">
        <f t="shared" si="16"/>
        <v>28611168</v>
      </c>
      <c r="P32" s="33">
        <f>'[1]Summary for IPSIS'!$AF$28+'[1]Summary for IPSIS'!$AG$28</f>
        <v>0</v>
      </c>
      <c r="Q32" s="32">
        <f>'[1]Summary for IPSIS'!$AH$28</f>
        <v>11500000</v>
      </c>
      <c r="R32" s="32">
        <f t="shared" si="17"/>
        <v>11500000</v>
      </c>
      <c r="S32" s="33">
        <f>'[1]Summary for IPSIS'!$AR$28+'[1]Summary for IPSIS'!$AS$28</f>
        <v>0</v>
      </c>
      <c r="T32" s="32">
        <f>'[1]Summary for IPSIS'!$AT$28</f>
        <v>11500000</v>
      </c>
      <c r="U32" s="32">
        <f t="shared" si="18"/>
        <v>11500000</v>
      </c>
      <c r="V32" s="33">
        <f>'[1]Summary for IPSIS'!$BD$28+'[1]Summary for IPSIS'!$BE$28</f>
        <v>0</v>
      </c>
      <c r="W32" s="32">
        <f>'[1]Summary for IPSIS'!$BF$28</f>
        <v>11500000</v>
      </c>
      <c r="X32" s="32">
        <f t="shared" si="19"/>
        <v>11500000</v>
      </c>
      <c r="Y32" s="32">
        <f t="shared" si="20"/>
        <v>1011168</v>
      </c>
      <c r="Z32" s="32">
        <f t="shared" si="21"/>
        <v>62100000</v>
      </c>
      <c r="AA32" s="32">
        <f t="shared" si="22"/>
        <v>63111168</v>
      </c>
      <c r="AB32" s="33">
        <f>0+1011168+0</f>
        <v>1011168</v>
      </c>
      <c r="AC32" s="32">
        <f>0</f>
        <v>0</v>
      </c>
      <c r="AD32" s="32">
        <f t="shared" si="14"/>
        <v>1011168</v>
      </c>
      <c r="AE32" s="33">
        <f>0</f>
        <v>0</v>
      </c>
      <c r="AF32" s="32">
        <f>62100000</f>
        <v>62100000</v>
      </c>
      <c r="AG32" s="32" t="s">
        <v>579</v>
      </c>
      <c r="AH32" s="39">
        <f t="shared" si="23"/>
        <v>62100000</v>
      </c>
      <c r="AI32" s="33">
        <f>0</f>
        <v>0</v>
      </c>
      <c r="AJ32" s="32">
        <f>0</f>
        <v>0</v>
      </c>
      <c r="AK32" s="39">
        <f t="shared" si="24"/>
        <v>0</v>
      </c>
      <c r="AL32" s="210">
        <f t="shared" si="25"/>
        <v>0</v>
      </c>
    </row>
    <row r="33" spans="2:46" ht="74.400000000000006" customHeight="1">
      <c r="B33" s="162" t="s">
        <v>447</v>
      </c>
      <c r="C33" s="188" t="s">
        <v>557</v>
      </c>
      <c r="D33" s="188" t="s">
        <v>541</v>
      </c>
      <c r="E33" s="189" t="s">
        <v>531</v>
      </c>
      <c r="F33" s="16" t="s">
        <v>565</v>
      </c>
      <c r="G33" s="16" t="s">
        <v>571</v>
      </c>
      <c r="H33" s="181">
        <v>2021</v>
      </c>
      <c r="I33" s="181">
        <v>2025</v>
      </c>
      <c r="J33" s="31">
        <f>'[1]Summary for IPSIS'!$H$29+'[1]Summary for IPSIS'!$I$29</f>
        <v>0</v>
      </c>
      <c r="K33" s="31">
        <f>'[1]Summary for IPSIS'!$J$29</f>
        <v>0</v>
      </c>
      <c r="L33" s="32">
        <f t="shared" si="15"/>
        <v>0</v>
      </c>
      <c r="M33" s="31">
        <f>'[1]Summary for IPSIS'!$T$29+'[1]Summary for IPSIS'!$U$29</f>
        <v>768000</v>
      </c>
      <c r="N33" s="31">
        <f>'[1]Summary for IPSIS'!$V$29</f>
        <v>0</v>
      </c>
      <c r="O33" s="32">
        <f t="shared" si="16"/>
        <v>768000</v>
      </c>
      <c r="P33" s="33">
        <f>'[1]Summary for IPSIS'!$AF$29+'[1]Summary for IPSIS'!$AG$29</f>
        <v>768000</v>
      </c>
      <c r="Q33" s="32">
        <f>'[1]Summary for IPSIS'!$AH$29</f>
        <v>0</v>
      </c>
      <c r="R33" s="32">
        <f t="shared" si="17"/>
        <v>768000</v>
      </c>
      <c r="S33" s="33">
        <f>'[1]Summary for IPSIS'!$AR$29+'[1]Summary for IPSIS'!$AS$29</f>
        <v>768000</v>
      </c>
      <c r="T33" s="32">
        <f>'[1]Summary for IPSIS'!$AT$29</f>
        <v>0</v>
      </c>
      <c r="U33" s="32">
        <f t="shared" si="18"/>
        <v>768000</v>
      </c>
      <c r="V33" s="33">
        <f>'[1]Summary for IPSIS'!$BD$29+'[1]Summary for IPSIS'!$BE$29</f>
        <v>768000</v>
      </c>
      <c r="W33" s="32">
        <f>'[1]Summary for IPSIS'!$BF$29</f>
        <v>0</v>
      </c>
      <c r="X33" s="32">
        <f t="shared" si="19"/>
        <v>768000</v>
      </c>
      <c r="Y33" s="32">
        <f t="shared" si="20"/>
        <v>3072000</v>
      </c>
      <c r="Z33" s="32">
        <f t="shared" si="21"/>
        <v>0</v>
      </c>
      <c r="AA33" s="32">
        <f t="shared" si="22"/>
        <v>3072000</v>
      </c>
      <c r="AB33" s="33">
        <f>0</f>
        <v>0</v>
      </c>
      <c r="AC33" s="32">
        <f>0</f>
        <v>0</v>
      </c>
      <c r="AD33" s="32">
        <f t="shared" si="14"/>
        <v>0</v>
      </c>
      <c r="AE33" s="33">
        <f>0</f>
        <v>0</v>
      </c>
      <c r="AF33" s="32">
        <f>0</f>
        <v>0</v>
      </c>
      <c r="AG33" s="32"/>
      <c r="AH33" s="39">
        <f t="shared" si="23"/>
        <v>0</v>
      </c>
      <c r="AI33" s="33">
        <f>0</f>
        <v>0</v>
      </c>
      <c r="AJ33" s="32">
        <f>0</f>
        <v>0</v>
      </c>
      <c r="AK33" s="39">
        <f t="shared" si="24"/>
        <v>0</v>
      </c>
      <c r="AL33" s="210">
        <f t="shared" si="25"/>
        <v>-3072000</v>
      </c>
    </row>
    <row r="34" spans="2:46" ht="45.6" customHeight="1">
      <c r="B34" s="162" t="s">
        <v>448</v>
      </c>
      <c r="C34" s="188" t="s">
        <v>458</v>
      </c>
      <c r="D34" s="188" t="s">
        <v>542</v>
      </c>
      <c r="E34" s="189" t="s">
        <v>531</v>
      </c>
      <c r="F34" s="10" t="s">
        <v>565</v>
      </c>
      <c r="G34" s="10"/>
      <c r="H34" s="181">
        <v>2021</v>
      </c>
      <c r="I34" s="181">
        <v>2025</v>
      </c>
      <c r="J34" s="31">
        <f>'[1]Summary for IPSIS'!$H$30+'[1]Summary for IPSIS'!$I$30</f>
        <v>0</v>
      </c>
      <c r="K34" s="31">
        <f>'[1]Summary for IPSIS'!$J$30</f>
        <v>2012500</v>
      </c>
      <c r="L34" s="32">
        <f t="shared" si="15"/>
        <v>2012500</v>
      </c>
      <c r="M34" s="31">
        <f>'[1]Summary for IPSIS'!$T$30+'[1]Summary for IPSIS'!$U$30</f>
        <v>0</v>
      </c>
      <c r="N34" s="31">
        <f>'[1]Summary for IPSIS'!$V$30</f>
        <v>2012500</v>
      </c>
      <c r="O34" s="32">
        <f t="shared" si="16"/>
        <v>2012500</v>
      </c>
      <c r="P34" s="33">
        <f>'[1]Summary for IPSIS'!$AF$30+'[1]Summary for IPSIS'!$AG$30</f>
        <v>0</v>
      </c>
      <c r="Q34" s="32">
        <f>'[1]Summary for IPSIS'!$AH$30</f>
        <v>2012500</v>
      </c>
      <c r="R34" s="32">
        <f t="shared" si="17"/>
        <v>2012500</v>
      </c>
      <c r="S34" s="33">
        <f>'[1]Summary for IPSIS'!$AR$30+'[1]Summary for IPSIS'!$AS$30</f>
        <v>0</v>
      </c>
      <c r="T34" s="32">
        <f>'[1]Summary for IPSIS'!$AT$30</f>
        <v>2012500</v>
      </c>
      <c r="U34" s="32">
        <f t="shared" si="18"/>
        <v>2012500</v>
      </c>
      <c r="V34" s="33">
        <f>'[1]Summary for IPSIS'!$BD$30+'[1]Summary for IPSIS'!$BE$30</f>
        <v>0</v>
      </c>
      <c r="W34" s="32">
        <f>'[1]Summary for IPSIS'!$BF$30</f>
        <v>2012500</v>
      </c>
      <c r="X34" s="32">
        <f t="shared" si="19"/>
        <v>2012500</v>
      </c>
      <c r="Y34" s="32">
        <f t="shared" si="20"/>
        <v>0</v>
      </c>
      <c r="Z34" s="32">
        <f t="shared" si="21"/>
        <v>10062500</v>
      </c>
      <c r="AA34" s="32">
        <f t="shared" si="22"/>
        <v>10062500</v>
      </c>
      <c r="AB34" s="33">
        <f>0</f>
        <v>0</v>
      </c>
      <c r="AC34" s="32">
        <f>0</f>
        <v>0</v>
      </c>
      <c r="AD34" s="32">
        <f t="shared" si="14"/>
        <v>0</v>
      </c>
      <c r="AE34" s="33">
        <f>0</f>
        <v>0</v>
      </c>
      <c r="AF34" s="32">
        <f>0</f>
        <v>0</v>
      </c>
      <c r="AG34" s="32"/>
      <c r="AH34" s="39">
        <f t="shared" si="23"/>
        <v>0</v>
      </c>
      <c r="AI34" s="33">
        <f>0</f>
        <v>0</v>
      </c>
      <c r="AJ34" s="32">
        <f>0</f>
        <v>0</v>
      </c>
      <c r="AK34" s="39">
        <f t="shared" si="24"/>
        <v>0</v>
      </c>
      <c r="AL34" s="210">
        <f t="shared" si="25"/>
        <v>-10062500</v>
      </c>
    </row>
    <row r="35" spans="2:46" ht="45.6" customHeight="1">
      <c r="B35" s="162" t="s">
        <v>449</v>
      </c>
      <c r="C35" s="188" t="s">
        <v>558</v>
      </c>
      <c r="D35" s="188" t="s">
        <v>543</v>
      </c>
      <c r="E35" s="189" t="s">
        <v>429</v>
      </c>
      <c r="F35" s="180" t="s">
        <v>168</v>
      </c>
      <c r="G35" s="17" t="s">
        <v>572</v>
      </c>
      <c r="H35" s="181">
        <v>2021</v>
      </c>
      <c r="I35" s="181">
        <v>2025</v>
      </c>
      <c r="J35" s="31">
        <f>'[1]Summary for IPSIS'!$H$31+'[1]Summary for IPSIS'!$I$31</f>
        <v>0</v>
      </c>
      <c r="K35" s="31">
        <f>'[1]Summary for IPSIS'!$J$31</f>
        <v>0</v>
      </c>
      <c r="L35" s="32">
        <f t="shared" si="15"/>
        <v>0</v>
      </c>
      <c r="M35" s="31">
        <f>'[1]Summary for IPSIS'!$T$31+'[1]Summary for IPSIS'!$U$31</f>
        <v>0</v>
      </c>
      <c r="N35" s="31">
        <f>'[1]Summary for IPSIS'!$V$31</f>
        <v>0</v>
      </c>
      <c r="O35" s="32">
        <f t="shared" si="16"/>
        <v>0</v>
      </c>
      <c r="P35" s="33">
        <f>'[1]Summary for IPSIS'!$AF$31+'[1]Summary for IPSIS'!$AG$31</f>
        <v>0</v>
      </c>
      <c r="Q35" s="32">
        <f>'[1]Summary for IPSIS'!$AH$31</f>
        <v>0</v>
      </c>
      <c r="R35" s="32">
        <f t="shared" si="17"/>
        <v>0</v>
      </c>
      <c r="S35" s="33">
        <f>'[1]Summary for IPSIS'!$AR$31+'[1]Summary for IPSIS'!$AS$31</f>
        <v>0</v>
      </c>
      <c r="T35" s="32">
        <f>'[1]Summary for IPSIS'!$AT$31</f>
        <v>0</v>
      </c>
      <c r="U35" s="32">
        <f t="shared" si="18"/>
        <v>0</v>
      </c>
      <c r="V35" s="33">
        <f>'[1]Summary for IPSIS'!$BD$31+'[1]Summary for IPSIS'!$BE$31</f>
        <v>0</v>
      </c>
      <c r="W35" s="32">
        <f>'[1]Summary for IPSIS'!$BF$31</f>
        <v>0</v>
      </c>
      <c r="X35" s="32">
        <f t="shared" si="19"/>
        <v>0</v>
      </c>
      <c r="Y35" s="32">
        <f t="shared" si="20"/>
        <v>0</v>
      </c>
      <c r="Z35" s="32">
        <f t="shared" si="21"/>
        <v>0</v>
      </c>
      <c r="AA35" s="32">
        <f t="shared" si="22"/>
        <v>0</v>
      </c>
      <c r="AB35" s="33">
        <f>0</f>
        <v>0</v>
      </c>
      <c r="AC35" s="32">
        <f>0</f>
        <v>0</v>
      </c>
      <c r="AD35" s="32">
        <f t="shared" si="14"/>
        <v>0</v>
      </c>
      <c r="AE35" s="33">
        <v>0</v>
      </c>
      <c r="AF35" s="32">
        <f>0</f>
        <v>0</v>
      </c>
      <c r="AG35" s="32"/>
      <c r="AH35" s="39">
        <f t="shared" si="23"/>
        <v>0</v>
      </c>
      <c r="AI35" s="33">
        <f>0</f>
        <v>0</v>
      </c>
      <c r="AJ35" s="32">
        <f>0</f>
        <v>0</v>
      </c>
      <c r="AK35" s="39">
        <f t="shared" si="24"/>
        <v>0</v>
      </c>
      <c r="AL35" s="210">
        <f t="shared" si="25"/>
        <v>0</v>
      </c>
    </row>
    <row r="36" spans="2:46" ht="33.6" customHeight="1">
      <c r="B36" s="162" t="s">
        <v>450</v>
      </c>
      <c r="C36" s="188" t="s">
        <v>559</v>
      </c>
      <c r="D36" s="188" t="s">
        <v>544</v>
      </c>
      <c r="E36" s="189" t="s">
        <v>429</v>
      </c>
      <c r="F36" s="17" t="s">
        <v>168</v>
      </c>
      <c r="G36" s="17" t="s">
        <v>573</v>
      </c>
      <c r="H36" s="181">
        <v>2021</v>
      </c>
      <c r="I36" s="181">
        <v>2025</v>
      </c>
      <c r="J36" s="31">
        <f>'[1]Summary for IPSIS'!$H$32+'[1]Summary for IPSIS'!$I$32</f>
        <v>2040000</v>
      </c>
      <c r="K36" s="31">
        <f>'[1]Summary for IPSIS'!$J$32</f>
        <v>0</v>
      </c>
      <c r="L36" s="32">
        <f t="shared" si="15"/>
        <v>2040000</v>
      </c>
      <c r="M36" s="31">
        <f>'[1]Summary for IPSIS'!$T$32+'[1]Summary for IPSIS'!$U$32</f>
        <v>2040000</v>
      </c>
      <c r="N36" s="31">
        <f>'[1]Summary for IPSIS'!$V$32</f>
        <v>0</v>
      </c>
      <c r="O36" s="32">
        <f t="shared" si="16"/>
        <v>2040000</v>
      </c>
      <c r="P36" s="33">
        <f>'[1]Summary for IPSIS'!$AF$32+'[1]Summary for IPSIS'!$AG$32</f>
        <v>2040000</v>
      </c>
      <c r="Q36" s="32">
        <f>'[1]Summary for IPSIS'!$AH$32</f>
        <v>0</v>
      </c>
      <c r="R36" s="32">
        <f t="shared" si="17"/>
        <v>2040000</v>
      </c>
      <c r="S36" s="33">
        <f>'[1]Summary for IPSIS'!$AR$32+'[1]Summary for IPSIS'!$AS$32</f>
        <v>2040000</v>
      </c>
      <c r="T36" s="32">
        <f>'[1]Summary for IPSIS'!$AT$32</f>
        <v>0</v>
      </c>
      <c r="U36" s="32">
        <f t="shared" si="18"/>
        <v>2040000</v>
      </c>
      <c r="V36" s="33">
        <f>'[1]Summary for IPSIS'!$BD$32+'[1]Summary for IPSIS'!$BE$32</f>
        <v>2040000</v>
      </c>
      <c r="W36" s="32">
        <f>'[1]Summary for IPSIS'!$BF$32</f>
        <v>0</v>
      </c>
      <c r="X36" s="32">
        <f t="shared" si="19"/>
        <v>2040000</v>
      </c>
      <c r="Y36" s="32">
        <f t="shared" si="20"/>
        <v>10200000</v>
      </c>
      <c r="Z36" s="32">
        <f t="shared" si="21"/>
        <v>0</v>
      </c>
      <c r="AA36" s="32">
        <f t="shared" si="22"/>
        <v>10200000</v>
      </c>
      <c r="AB36" s="33">
        <f>2040000+2040000+2040000</f>
        <v>6120000</v>
      </c>
      <c r="AC36" s="32">
        <f>0</f>
        <v>0</v>
      </c>
      <c r="AD36" s="32">
        <f t="shared" si="14"/>
        <v>6120000</v>
      </c>
      <c r="AE36" s="33">
        <f>0</f>
        <v>0</v>
      </c>
      <c r="AF36" s="32">
        <f>0</f>
        <v>0</v>
      </c>
      <c r="AG36" s="32"/>
      <c r="AH36" s="39">
        <f t="shared" si="23"/>
        <v>0</v>
      </c>
      <c r="AI36" s="33">
        <f>2040000+2040000</f>
        <v>4080000</v>
      </c>
      <c r="AJ36" s="32">
        <f>0</f>
        <v>0</v>
      </c>
      <c r="AK36" s="39">
        <f t="shared" si="24"/>
        <v>4080000</v>
      </c>
      <c r="AL36" s="210">
        <f t="shared" si="25"/>
        <v>0</v>
      </c>
    </row>
    <row r="37" spans="2:46" ht="36" customHeight="1">
      <c r="B37" s="162" t="s">
        <v>451</v>
      </c>
      <c r="C37" s="188" t="s">
        <v>560</v>
      </c>
      <c r="D37" s="188" t="s">
        <v>545</v>
      </c>
      <c r="E37" s="189" t="s">
        <v>532</v>
      </c>
      <c r="F37" s="17" t="s">
        <v>574</v>
      </c>
      <c r="G37" s="17" t="s">
        <v>575</v>
      </c>
      <c r="H37" s="181">
        <v>2021</v>
      </c>
      <c r="I37" s="181">
        <v>2025</v>
      </c>
      <c r="J37" s="31">
        <f>'[1]Summary for IPSIS'!$H$33+'[1]Summary for IPSIS'!$I$33</f>
        <v>1020000</v>
      </c>
      <c r="K37" s="31">
        <f>'[1]Summary for IPSIS'!$J$33</f>
        <v>0</v>
      </c>
      <c r="L37" s="32">
        <f t="shared" si="15"/>
        <v>1020000</v>
      </c>
      <c r="M37" s="31">
        <f>'[1]Summary for IPSIS'!$T$33+'[1]Summary for IPSIS'!$U$33</f>
        <v>1020000</v>
      </c>
      <c r="N37" s="31">
        <f>'[1]Summary for IPSIS'!$V$33</f>
        <v>0</v>
      </c>
      <c r="O37" s="32">
        <f t="shared" si="16"/>
        <v>1020000</v>
      </c>
      <c r="P37" s="33">
        <f>'[1]Summary for IPSIS'!$AF$33+'[1]Summary for IPSIS'!$AG$33</f>
        <v>1020000</v>
      </c>
      <c r="Q37" s="32">
        <f>'[1]Summary for IPSIS'!$AH$33</f>
        <v>0</v>
      </c>
      <c r="R37" s="32">
        <f t="shared" si="17"/>
        <v>1020000</v>
      </c>
      <c r="S37" s="33">
        <f>'[1]Summary for IPSIS'!$AR$33+'[1]Summary for IPSIS'!$AS$33</f>
        <v>1020000</v>
      </c>
      <c r="T37" s="32">
        <f>'[1]Summary for IPSIS'!$AT$33</f>
        <v>0</v>
      </c>
      <c r="U37" s="32">
        <f t="shared" si="18"/>
        <v>1020000</v>
      </c>
      <c r="V37" s="33">
        <f>'[1]Summary for IPSIS'!$BD$33+'[1]Summary for IPSIS'!$BE$33</f>
        <v>1020000</v>
      </c>
      <c r="W37" s="32">
        <f>'[1]Summary for IPSIS'!$BF$33</f>
        <v>0</v>
      </c>
      <c r="X37" s="32">
        <f t="shared" si="19"/>
        <v>1020000</v>
      </c>
      <c r="Y37" s="32">
        <f t="shared" si="20"/>
        <v>5100000</v>
      </c>
      <c r="Z37" s="32">
        <f t="shared" si="21"/>
        <v>0</v>
      </c>
      <c r="AA37" s="32">
        <f t="shared" si="22"/>
        <v>5100000</v>
      </c>
      <c r="AB37" s="33">
        <f>1020000+1020000+1020000</f>
        <v>3060000</v>
      </c>
      <c r="AC37" s="32">
        <f>0</f>
        <v>0</v>
      </c>
      <c r="AD37" s="32">
        <f t="shared" si="14"/>
        <v>3060000</v>
      </c>
      <c r="AE37" s="33">
        <f>0</f>
        <v>0</v>
      </c>
      <c r="AF37" s="32">
        <f>0</f>
        <v>0</v>
      </c>
      <c r="AG37" s="32"/>
      <c r="AH37" s="39">
        <f t="shared" si="23"/>
        <v>0</v>
      </c>
      <c r="AI37" s="33">
        <f>1020000+1020000</f>
        <v>2040000</v>
      </c>
      <c r="AJ37" s="32">
        <f>0</f>
        <v>0</v>
      </c>
      <c r="AK37" s="39">
        <f t="shared" si="24"/>
        <v>2040000</v>
      </c>
      <c r="AL37" s="210">
        <f t="shared" si="25"/>
        <v>0</v>
      </c>
    </row>
    <row r="38" spans="2:46" ht="45.6" customHeight="1">
      <c r="B38" s="162" t="s">
        <v>452</v>
      </c>
      <c r="C38" s="188" t="s">
        <v>561</v>
      </c>
      <c r="D38" s="188" t="s">
        <v>546</v>
      </c>
      <c r="E38" s="189" t="s">
        <v>531</v>
      </c>
      <c r="F38" s="16" t="s">
        <v>565</v>
      </c>
      <c r="G38" s="16" t="s">
        <v>168</v>
      </c>
      <c r="H38" s="181">
        <v>2021</v>
      </c>
      <c r="I38" s="181">
        <v>2023</v>
      </c>
      <c r="J38" s="31">
        <f>'[1]Summary for IPSIS'!$H$34+'[1]Summary for IPSIS'!$I$34</f>
        <v>0</v>
      </c>
      <c r="K38" s="31">
        <f>'[1]Summary for IPSIS'!$J$34</f>
        <v>0</v>
      </c>
      <c r="L38" s="32">
        <f t="shared" si="15"/>
        <v>0</v>
      </c>
      <c r="M38" s="31">
        <f>'[1]Summary for IPSIS'!$T$34+'[1]Summary for IPSIS'!$U$34</f>
        <v>444000</v>
      </c>
      <c r="N38" s="31">
        <f>'[1]Summary for IPSIS'!$V$34</f>
        <v>0</v>
      </c>
      <c r="O38" s="32">
        <f t="shared" si="16"/>
        <v>444000</v>
      </c>
      <c r="P38" s="33">
        <f>'[1]Summary for IPSIS'!$AF$34+'[1]Summary for IPSIS'!$AG$34</f>
        <v>444000</v>
      </c>
      <c r="Q38" s="32">
        <f>'[1]Summary for IPSIS'!$AH$34</f>
        <v>0</v>
      </c>
      <c r="R38" s="32">
        <f t="shared" si="17"/>
        <v>444000</v>
      </c>
      <c r="S38" s="33">
        <f>'[1]Summary for IPSIS'!$AR$34+'[1]Summary for IPSIS'!$AS$34</f>
        <v>0</v>
      </c>
      <c r="T38" s="32">
        <f>'[1]Summary for IPSIS'!$AT$34</f>
        <v>0</v>
      </c>
      <c r="U38" s="32">
        <f t="shared" si="18"/>
        <v>0</v>
      </c>
      <c r="V38" s="33">
        <f>'[1]Summary for IPSIS'!$BD$34+'[1]Summary for IPSIS'!$BE$34</f>
        <v>0</v>
      </c>
      <c r="W38" s="32">
        <f>'[1]Summary for IPSIS'!$BF$34</f>
        <v>0</v>
      </c>
      <c r="X38" s="32">
        <f t="shared" si="19"/>
        <v>0</v>
      </c>
      <c r="Y38" s="32">
        <f t="shared" si="20"/>
        <v>888000</v>
      </c>
      <c r="Z38" s="32">
        <f t="shared" si="21"/>
        <v>0</v>
      </c>
      <c r="AA38" s="32">
        <f t="shared" si="22"/>
        <v>888000</v>
      </c>
      <c r="AB38" s="33">
        <f>0</f>
        <v>0</v>
      </c>
      <c r="AC38" s="32">
        <f>0</f>
        <v>0</v>
      </c>
      <c r="AD38" s="32">
        <f t="shared" si="14"/>
        <v>0</v>
      </c>
      <c r="AE38" s="33">
        <f>0</f>
        <v>0</v>
      </c>
      <c r="AF38" s="32">
        <f>0</f>
        <v>0</v>
      </c>
      <c r="AG38" s="32"/>
      <c r="AH38" s="39">
        <f t="shared" si="23"/>
        <v>0</v>
      </c>
      <c r="AI38" s="33">
        <f>0</f>
        <v>0</v>
      </c>
      <c r="AJ38" s="32">
        <f>0</f>
        <v>0</v>
      </c>
      <c r="AK38" s="39">
        <f t="shared" si="24"/>
        <v>0</v>
      </c>
      <c r="AL38" s="210">
        <f t="shared" si="25"/>
        <v>-888000</v>
      </c>
    </row>
    <row r="39" spans="2:46" ht="45.6" customHeight="1">
      <c r="B39" s="162" t="s">
        <v>453</v>
      </c>
      <c r="C39" s="188" t="s">
        <v>562</v>
      </c>
      <c r="D39" s="188" t="s">
        <v>547</v>
      </c>
      <c r="E39" s="189" t="s">
        <v>531</v>
      </c>
      <c r="F39" s="16" t="s">
        <v>565</v>
      </c>
      <c r="G39" s="16" t="s">
        <v>168</v>
      </c>
      <c r="H39" s="181">
        <v>2021</v>
      </c>
      <c r="I39" s="181">
        <v>2023</v>
      </c>
      <c r="J39" s="31">
        <f>'[1]Summary for IPSIS'!$H$35+'[1]Summary for IPSIS'!$I$35</f>
        <v>0</v>
      </c>
      <c r="K39" s="31">
        <f>'[1]Summary for IPSIS'!$J$35</f>
        <v>0</v>
      </c>
      <c r="L39" s="32">
        <f t="shared" si="15"/>
        <v>0</v>
      </c>
      <c r="M39" s="31">
        <f>'[1]Summary for IPSIS'!$T$35+'[1]Summary for IPSIS'!$U$35</f>
        <v>319200</v>
      </c>
      <c r="N39" s="31">
        <f>'[1]Summary for IPSIS'!$V$35</f>
        <v>0</v>
      </c>
      <c r="O39" s="32">
        <f t="shared" si="16"/>
        <v>319200</v>
      </c>
      <c r="P39" s="33">
        <f>'[1]Summary for IPSIS'!$AF$35+'[1]Summary for IPSIS'!$AG$35</f>
        <v>0</v>
      </c>
      <c r="Q39" s="32">
        <f>'[1]Summary for IPSIS'!$AH$35</f>
        <v>0</v>
      </c>
      <c r="R39" s="32">
        <f t="shared" si="17"/>
        <v>0</v>
      </c>
      <c r="S39" s="33">
        <f>'[1]Summary for IPSIS'!$AR$35+'[1]Summary for IPSIS'!$AS$35</f>
        <v>840000</v>
      </c>
      <c r="T39" s="32">
        <f>'[1]Summary for IPSIS'!$AT$35</f>
        <v>0</v>
      </c>
      <c r="U39" s="32">
        <f t="shared" si="18"/>
        <v>840000</v>
      </c>
      <c r="V39" s="33">
        <f>'[1]Summary for IPSIS'!$BD$35+'[1]Summary for IPSIS'!$BE$35</f>
        <v>0</v>
      </c>
      <c r="W39" s="32">
        <f>'[1]Summary for IPSIS'!$BF$35</f>
        <v>0</v>
      </c>
      <c r="X39" s="32">
        <f t="shared" si="19"/>
        <v>0</v>
      </c>
      <c r="Y39" s="32">
        <f t="shared" si="20"/>
        <v>1159200</v>
      </c>
      <c r="Z39" s="32">
        <f t="shared" si="21"/>
        <v>0</v>
      </c>
      <c r="AA39" s="32">
        <f t="shared" si="22"/>
        <v>1159200</v>
      </c>
      <c r="AB39" s="33">
        <f>0</f>
        <v>0</v>
      </c>
      <c r="AC39" s="32">
        <f>0</f>
        <v>0</v>
      </c>
      <c r="AD39" s="32">
        <f t="shared" si="14"/>
        <v>0</v>
      </c>
      <c r="AE39" s="33">
        <f>0</f>
        <v>0</v>
      </c>
      <c r="AF39" s="32">
        <f>0</f>
        <v>0</v>
      </c>
      <c r="AG39" s="32"/>
      <c r="AH39" s="39">
        <f t="shared" si="23"/>
        <v>0</v>
      </c>
      <c r="AI39" s="33">
        <f>0</f>
        <v>0</v>
      </c>
      <c r="AJ39" s="32">
        <f>0</f>
        <v>0</v>
      </c>
      <c r="AK39" s="39">
        <f t="shared" si="24"/>
        <v>0</v>
      </c>
      <c r="AL39" s="210">
        <f t="shared" si="25"/>
        <v>-1159200</v>
      </c>
    </row>
    <row r="40" spans="2:46" ht="48" customHeight="1">
      <c r="B40" s="162" t="s">
        <v>454</v>
      </c>
      <c r="C40" s="188" t="s">
        <v>563</v>
      </c>
      <c r="D40" s="188" t="s">
        <v>548</v>
      </c>
      <c r="E40" s="189" t="s">
        <v>429</v>
      </c>
      <c r="F40" s="16" t="s">
        <v>168</v>
      </c>
      <c r="G40" s="16" t="s">
        <v>576</v>
      </c>
      <c r="H40" s="181">
        <v>2021</v>
      </c>
      <c r="I40" s="181">
        <v>2022</v>
      </c>
      <c r="J40" s="31">
        <f>'[1]Summary for IPSIS'!$H$36+'[1]Summary for IPSIS'!$I$36</f>
        <v>1500000</v>
      </c>
      <c r="K40" s="31">
        <f>'[1]Summary for IPSIS'!$J$36</f>
        <v>0</v>
      </c>
      <c r="L40" s="32">
        <f t="shared" si="15"/>
        <v>1500000</v>
      </c>
      <c r="M40" s="31">
        <f>'[1]Summary for IPSIS'!$T$36+'[1]Summary for IPSIS'!$U$36</f>
        <v>1500000</v>
      </c>
      <c r="N40" s="31">
        <f>'[1]Summary for IPSIS'!$V$36</f>
        <v>0</v>
      </c>
      <c r="O40" s="32">
        <f t="shared" si="16"/>
        <v>1500000</v>
      </c>
      <c r="P40" s="33">
        <f>'[1]Summary for IPSIS'!$AF$36+'[1]Summary for IPSIS'!$AG$36</f>
        <v>0</v>
      </c>
      <c r="Q40" s="32">
        <f>'[1]Summary for IPSIS'!$AH$36</f>
        <v>0</v>
      </c>
      <c r="R40" s="32">
        <f t="shared" si="17"/>
        <v>0</v>
      </c>
      <c r="S40" s="33">
        <f>'[1]Summary for IPSIS'!$AR$36+'[1]Summary for IPSIS'!$AS$36</f>
        <v>0</v>
      </c>
      <c r="T40" s="32">
        <f>'[1]Summary for IPSIS'!$AT$36</f>
        <v>0</v>
      </c>
      <c r="U40" s="32">
        <f t="shared" si="18"/>
        <v>0</v>
      </c>
      <c r="V40" s="33">
        <f>'[1]Summary for IPSIS'!$BD$36+'[1]Summary for IPSIS'!$BE$36</f>
        <v>0</v>
      </c>
      <c r="W40" s="32">
        <f>'[1]Summary for IPSIS'!$BF$36</f>
        <v>0</v>
      </c>
      <c r="X40" s="32">
        <f t="shared" si="19"/>
        <v>0</v>
      </c>
      <c r="Y40" s="32">
        <f t="shared" si="20"/>
        <v>3000000</v>
      </c>
      <c r="Z40" s="32">
        <f t="shared" si="21"/>
        <v>0</v>
      </c>
      <c r="AA40" s="32">
        <f t="shared" si="22"/>
        <v>3000000</v>
      </c>
      <c r="AB40" s="33">
        <f>0</f>
        <v>0</v>
      </c>
      <c r="AC40" s="32">
        <f>0</f>
        <v>0</v>
      </c>
      <c r="AD40" s="32">
        <f t="shared" si="14"/>
        <v>0</v>
      </c>
      <c r="AE40" s="33">
        <f>0</f>
        <v>0</v>
      </c>
      <c r="AF40" s="32">
        <f>0</f>
        <v>0</v>
      </c>
      <c r="AG40" s="32"/>
      <c r="AH40" s="39">
        <f t="shared" si="23"/>
        <v>0</v>
      </c>
      <c r="AI40" s="33">
        <f>0</f>
        <v>0</v>
      </c>
      <c r="AJ40" s="32">
        <f>0</f>
        <v>0</v>
      </c>
      <c r="AK40" s="39">
        <f t="shared" si="24"/>
        <v>0</v>
      </c>
      <c r="AL40" s="210">
        <f t="shared" si="25"/>
        <v>-3000000</v>
      </c>
    </row>
    <row r="41" spans="2:46" ht="55.8" customHeight="1" thickBot="1">
      <c r="B41" s="163" t="s">
        <v>455</v>
      </c>
      <c r="C41" s="219" t="s">
        <v>549</v>
      </c>
      <c r="D41" s="219" t="s">
        <v>549</v>
      </c>
      <c r="E41" s="220" t="s">
        <v>531</v>
      </c>
      <c r="F41" s="21" t="s">
        <v>565</v>
      </c>
      <c r="G41" s="22" t="s">
        <v>577</v>
      </c>
      <c r="H41" s="182">
        <v>2021</v>
      </c>
      <c r="I41" s="182">
        <v>2022</v>
      </c>
      <c r="J41" s="215">
        <f>'[1]Summary for IPSIS'!$H$37+'[1]Summary for IPSIS'!$I$37</f>
        <v>504000</v>
      </c>
      <c r="K41" s="215">
        <f>'[1]Summary for IPSIS'!$J$37</f>
        <v>0</v>
      </c>
      <c r="L41" s="69">
        <f t="shared" si="15"/>
        <v>504000</v>
      </c>
      <c r="M41" s="215">
        <f>'[1]Summary for IPSIS'!$T$37+'[1]Summary for IPSIS'!$U$37</f>
        <v>504000</v>
      </c>
      <c r="N41" s="215">
        <f>'[1]Summary for IPSIS'!$V$37</f>
        <v>0</v>
      </c>
      <c r="O41" s="69">
        <f t="shared" si="16"/>
        <v>504000</v>
      </c>
      <c r="P41" s="216">
        <f>'[1]Summary for IPSIS'!$AF$37+'[1]Summary for IPSIS'!$AG$37</f>
        <v>0</v>
      </c>
      <c r="Q41" s="69">
        <f>'[1]Summary for IPSIS'!$AH$37</f>
        <v>0</v>
      </c>
      <c r="R41" s="69">
        <f t="shared" si="17"/>
        <v>0</v>
      </c>
      <c r="S41" s="216">
        <f>'[1]Summary for IPSIS'!$AR$37+'[1]Summary for IPSIS'!$AS$37</f>
        <v>0</v>
      </c>
      <c r="T41" s="69">
        <f>'[1]Summary for IPSIS'!$AT$37</f>
        <v>0</v>
      </c>
      <c r="U41" s="69">
        <f t="shared" si="18"/>
        <v>0</v>
      </c>
      <c r="V41" s="216">
        <f>'[1]Summary for IPSIS'!$BD$37+'[1]Summary for IPSIS'!$BE$37</f>
        <v>0</v>
      </c>
      <c r="W41" s="69">
        <f>'[1]Summary for IPSIS'!$BF$37</f>
        <v>0</v>
      </c>
      <c r="X41" s="69">
        <f t="shared" si="19"/>
        <v>0</v>
      </c>
      <c r="Y41" s="69">
        <f t="shared" si="20"/>
        <v>1008000</v>
      </c>
      <c r="Z41" s="69">
        <f t="shared" si="21"/>
        <v>0</v>
      </c>
      <c r="AA41" s="69">
        <f t="shared" si="22"/>
        <v>1008000</v>
      </c>
      <c r="AB41" s="216">
        <f>0</f>
        <v>0</v>
      </c>
      <c r="AC41" s="69">
        <f>0</f>
        <v>0</v>
      </c>
      <c r="AD41" s="69">
        <f t="shared" si="14"/>
        <v>0</v>
      </c>
      <c r="AE41" s="216">
        <v>0</v>
      </c>
      <c r="AF41" s="69">
        <v>0</v>
      </c>
      <c r="AG41" s="69"/>
      <c r="AH41" s="82">
        <f t="shared" si="23"/>
        <v>0</v>
      </c>
      <c r="AI41" s="216">
        <f>0</f>
        <v>0</v>
      </c>
      <c r="AJ41" s="69">
        <f>0</f>
        <v>0</v>
      </c>
      <c r="AK41" s="82">
        <f t="shared" si="24"/>
        <v>0</v>
      </c>
      <c r="AL41" s="217">
        <f t="shared" si="25"/>
        <v>-1008000</v>
      </c>
    </row>
    <row r="42" spans="2:46" s="6" customFormat="1" ht="34.799999999999997" customHeight="1" thickBot="1">
      <c r="B42" s="58"/>
      <c r="C42" s="65" t="s">
        <v>456</v>
      </c>
      <c r="D42" s="66"/>
      <c r="E42" s="66"/>
      <c r="F42" s="56"/>
      <c r="G42" s="56"/>
      <c r="H42" s="56"/>
      <c r="I42" s="56"/>
      <c r="J42" s="57">
        <f>SUM(J25:J41)</f>
        <v>5742800</v>
      </c>
      <c r="K42" s="57">
        <f t="shared" ref="K42:AL42" si="26">SUM(K25:K41)</f>
        <v>2702500</v>
      </c>
      <c r="L42" s="57">
        <f t="shared" si="26"/>
        <v>8445300</v>
      </c>
      <c r="M42" s="57">
        <f t="shared" si="26"/>
        <v>9970208</v>
      </c>
      <c r="N42" s="57">
        <f t="shared" si="26"/>
        <v>30302500</v>
      </c>
      <c r="O42" s="57">
        <f t="shared" si="26"/>
        <v>40272708</v>
      </c>
      <c r="P42" s="57">
        <f t="shared" si="26"/>
        <v>6530400</v>
      </c>
      <c r="Q42" s="57">
        <f t="shared" si="26"/>
        <v>14202500</v>
      </c>
      <c r="R42" s="57">
        <f t="shared" si="26"/>
        <v>20732900</v>
      </c>
      <c r="S42" s="57">
        <f t="shared" si="26"/>
        <v>6465760</v>
      </c>
      <c r="T42" s="57">
        <f t="shared" si="26"/>
        <v>14202500</v>
      </c>
      <c r="U42" s="57">
        <f t="shared" si="26"/>
        <v>20668260</v>
      </c>
      <c r="V42" s="57">
        <f t="shared" si="26"/>
        <v>4099040</v>
      </c>
      <c r="W42" s="57">
        <f t="shared" si="26"/>
        <v>14202500</v>
      </c>
      <c r="X42" s="57">
        <f t="shared" si="26"/>
        <v>18301540</v>
      </c>
      <c r="Y42" s="57">
        <f t="shared" si="26"/>
        <v>32808208</v>
      </c>
      <c r="Z42" s="57">
        <f t="shared" si="26"/>
        <v>75612500</v>
      </c>
      <c r="AA42" s="57">
        <f t="shared" si="26"/>
        <v>108420708</v>
      </c>
      <c r="AB42" s="57">
        <f t="shared" si="26"/>
        <v>15326608</v>
      </c>
      <c r="AC42" s="57">
        <f t="shared" si="26"/>
        <v>0</v>
      </c>
      <c r="AD42" s="57">
        <f t="shared" si="26"/>
        <v>15326608</v>
      </c>
      <c r="AE42" s="57">
        <f t="shared" si="26"/>
        <v>0</v>
      </c>
      <c r="AF42" s="57">
        <f t="shared" si="26"/>
        <v>65550000</v>
      </c>
      <c r="AG42" s="57">
        <f t="shared" si="26"/>
        <v>0</v>
      </c>
      <c r="AH42" s="57">
        <f t="shared" si="26"/>
        <v>65550000</v>
      </c>
      <c r="AI42" s="57">
        <f t="shared" si="26"/>
        <v>8188800</v>
      </c>
      <c r="AJ42" s="57">
        <f t="shared" si="26"/>
        <v>0</v>
      </c>
      <c r="AK42" s="57">
        <f t="shared" si="26"/>
        <v>8188800</v>
      </c>
      <c r="AL42" s="218">
        <f t="shared" si="26"/>
        <v>-19355300</v>
      </c>
      <c r="AM42" s="36"/>
      <c r="AN42" s="36"/>
      <c r="AO42" s="36"/>
      <c r="AP42" s="36"/>
      <c r="AQ42" s="36"/>
      <c r="AR42" s="36"/>
      <c r="AS42" s="36"/>
      <c r="AT42" s="36"/>
    </row>
    <row r="43" spans="2:46" ht="55.2" customHeight="1">
      <c r="B43" s="161">
        <v>1.3</v>
      </c>
      <c r="C43" s="283" t="s">
        <v>485</v>
      </c>
      <c r="D43" s="284"/>
      <c r="E43" s="208"/>
      <c r="F43" s="71"/>
      <c r="G43" s="71"/>
      <c r="H43" s="160"/>
      <c r="I43" s="160"/>
      <c r="J43" s="70"/>
      <c r="K43" s="70"/>
      <c r="L43" s="67"/>
      <c r="M43" s="70"/>
      <c r="N43" s="70"/>
      <c r="O43" s="67"/>
      <c r="P43" s="209"/>
      <c r="Q43" s="67"/>
      <c r="R43" s="67"/>
      <c r="S43" s="209"/>
      <c r="T43" s="67"/>
      <c r="U43" s="67"/>
      <c r="V43" s="209"/>
      <c r="W43" s="67"/>
      <c r="X43" s="67"/>
      <c r="Y43" s="67"/>
      <c r="Z43" s="67"/>
      <c r="AA43" s="67"/>
      <c r="AB43" s="209"/>
      <c r="AC43" s="67"/>
      <c r="AD43" s="67"/>
      <c r="AE43" s="209"/>
      <c r="AF43" s="67"/>
      <c r="AG43" s="67"/>
      <c r="AH43" s="67"/>
      <c r="AI43" s="209"/>
      <c r="AJ43" s="67"/>
      <c r="AK43" s="67"/>
      <c r="AL43" s="68"/>
    </row>
    <row r="44" spans="2:46" ht="19.8" customHeight="1">
      <c r="B44" s="162"/>
      <c r="C44" s="113" t="s">
        <v>141</v>
      </c>
      <c r="D44" s="192"/>
      <c r="E44" s="192"/>
      <c r="F44" s="10"/>
      <c r="G44" s="10"/>
      <c r="H44" s="114"/>
      <c r="I44" s="114"/>
      <c r="J44" s="31"/>
      <c r="K44" s="31"/>
      <c r="L44" s="32"/>
      <c r="M44" s="31"/>
      <c r="N44" s="31"/>
      <c r="O44" s="32"/>
      <c r="P44" s="33"/>
      <c r="Q44" s="32"/>
      <c r="R44" s="32"/>
      <c r="S44" s="33"/>
      <c r="T44" s="32"/>
      <c r="U44" s="32"/>
      <c r="V44" s="33"/>
      <c r="W44" s="32"/>
      <c r="X44" s="32"/>
      <c r="Y44" s="32"/>
      <c r="Z44" s="32"/>
      <c r="AA44" s="32"/>
      <c r="AB44" s="33"/>
      <c r="AC44" s="32"/>
      <c r="AD44" s="32"/>
      <c r="AE44" s="33"/>
      <c r="AF44" s="32"/>
      <c r="AG44" s="32"/>
      <c r="AH44" s="32"/>
      <c r="AI44" s="33"/>
      <c r="AJ44" s="32"/>
      <c r="AK44" s="32"/>
      <c r="AL44" s="35"/>
    </row>
    <row r="45" spans="2:46" s="23" customFormat="1" ht="76.8" customHeight="1">
      <c r="B45" s="93" t="s">
        <v>11</v>
      </c>
      <c r="C45" s="186" t="s">
        <v>486</v>
      </c>
      <c r="D45" s="193" t="s">
        <v>580</v>
      </c>
      <c r="E45" s="187" t="s">
        <v>532</v>
      </c>
      <c r="F45" s="17" t="s">
        <v>574</v>
      </c>
      <c r="G45" s="17" t="s">
        <v>168</v>
      </c>
      <c r="H45" s="181">
        <v>2021</v>
      </c>
      <c r="I45" s="181">
        <v>2023</v>
      </c>
      <c r="J45" s="33">
        <f>'[1]Summary for IPSIS'!$H$39+'[1]Summary for IPSIS'!$I$39</f>
        <v>182400</v>
      </c>
      <c r="K45" s="33">
        <f>'[1]Summary for IPSIS'!$J$39</f>
        <v>0</v>
      </c>
      <c r="L45" s="33">
        <f>J45+K45</f>
        <v>182400</v>
      </c>
      <c r="M45" s="33">
        <f>'[1]Summary for IPSIS'!$T$39+'[1]Summary for IPSIS'!$U$39</f>
        <v>1084160</v>
      </c>
      <c r="N45" s="33">
        <f>'[1]Summary for IPSIS'!$V$39</f>
        <v>0</v>
      </c>
      <c r="O45" s="33">
        <f>M45+N45</f>
        <v>1084160</v>
      </c>
      <c r="P45" s="33">
        <f>'[1]Summary for IPSIS'!$AF$39+'[1]Summary for IPSIS'!$AG$39</f>
        <v>813120</v>
      </c>
      <c r="Q45" s="33">
        <f>'[1]Summary for IPSIS'!$AH$39</f>
        <v>0</v>
      </c>
      <c r="R45" s="33">
        <f>P45+Q45</f>
        <v>813120</v>
      </c>
      <c r="S45" s="33">
        <f>'[1]Summary for IPSIS'!$AR$39+'[1]Summary for IPSIS'!$AS$39</f>
        <v>0</v>
      </c>
      <c r="T45" s="33">
        <f>'[1]Summary for IPSIS'!$AT$39</f>
        <v>0</v>
      </c>
      <c r="U45" s="33">
        <f>S45+T45</f>
        <v>0</v>
      </c>
      <c r="V45" s="33">
        <f>'[1]Summary for IPSIS'!$BD$39+'[1]Summary for IPSIS'!$BE$39</f>
        <v>0</v>
      </c>
      <c r="W45" s="33">
        <f>'[1]Summary for IPSIS'!$BF$39</f>
        <v>0</v>
      </c>
      <c r="X45" s="33">
        <f>V45+W45</f>
        <v>0</v>
      </c>
      <c r="Y45" s="33">
        <f>J45+M45+P45+S45+V45</f>
        <v>2079680</v>
      </c>
      <c r="Z45" s="33">
        <f>K45+N45+Q45+T45+W45</f>
        <v>0</v>
      </c>
      <c r="AA45" s="33">
        <f>Y45+Z45</f>
        <v>2079680</v>
      </c>
      <c r="AB45" s="33">
        <f>0+1084160+813120</f>
        <v>1897280</v>
      </c>
      <c r="AC45" s="33">
        <f>0</f>
        <v>0</v>
      </c>
      <c r="AD45" s="33">
        <f>AB45+AC45</f>
        <v>1897280</v>
      </c>
      <c r="AE45" s="33">
        <f>0</f>
        <v>0</v>
      </c>
      <c r="AF45" s="33">
        <f>0</f>
        <v>0</v>
      </c>
      <c r="AG45" s="33"/>
      <c r="AH45" s="33">
        <f>AE45+AF45</f>
        <v>0</v>
      </c>
      <c r="AI45" s="33">
        <f>0</f>
        <v>0</v>
      </c>
      <c r="AJ45" s="33">
        <f>0</f>
        <v>0</v>
      </c>
      <c r="AK45" s="33">
        <f>AI45+AJ45</f>
        <v>0</v>
      </c>
      <c r="AL45" s="210">
        <f t="shared" ref="AL45:AL75" si="27">SUM(AK45+AH45+AD45)-AA45</f>
        <v>-182400</v>
      </c>
    </row>
    <row r="46" spans="2:46" s="23" customFormat="1" ht="43.8" customHeight="1">
      <c r="B46" s="93" t="s">
        <v>12</v>
      </c>
      <c r="C46" s="188" t="s">
        <v>611</v>
      </c>
      <c r="D46" s="194" t="s">
        <v>581</v>
      </c>
      <c r="E46" s="189" t="s">
        <v>532</v>
      </c>
      <c r="F46" s="17" t="s">
        <v>574</v>
      </c>
      <c r="G46" s="17" t="s">
        <v>168</v>
      </c>
      <c r="H46" s="181">
        <v>2021</v>
      </c>
      <c r="I46" s="181">
        <v>2025</v>
      </c>
      <c r="J46" s="33">
        <f>'[1]Summary for IPSIS'!$H$40+'[1]Summary for IPSIS'!$I$40</f>
        <v>1387152</v>
      </c>
      <c r="K46" s="33">
        <f>'[1]Summary for IPSIS'!$J$40</f>
        <v>0</v>
      </c>
      <c r="L46" s="33">
        <f t="shared" ref="L46:L75" si="28">J46+K46</f>
        <v>1387152</v>
      </c>
      <c r="M46" s="33">
        <f>'[1]Summary for IPSIS'!$T$40+'[1]Summary for IPSIS'!$U$40</f>
        <v>1387152</v>
      </c>
      <c r="N46" s="33">
        <f>'[1]Summary for IPSIS'!$V$40</f>
        <v>0</v>
      </c>
      <c r="O46" s="33">
        <f t="shared" ref="O46:O75" si="29">M46+N46</f>
        <v>1387152</v>
      </c>
      <c r="P46" s="33">
        <f>'[1]Summary for IPSIS'!$AF$40+'[1]Summary for IPSIS'!$AG$40</f>
        <v>1387152</v>
      </c>
      <c r="Q46" s="33">
        <f>'[1]Summary for IPSIS'!$AH$40</f>
        <v>0</v>
      </c>
      <c r="R46" s="33">
        <f t="shared" ref="R46:R75" si="30">P46+Q46</f>
        <v>1387152</v>
      </c>
      <c r="S46" s="33">
        <f>'[1]Summary for IPSIS'!$AR$40+'[1]Summary for IPSIS'!$AS$40</f>
        <v>1387152</v>
      </c>
      <c r="T46" s="33">
        <f>'[1]Summary for IPSIS'!$AT$40</f>
        <v>0</v>
      </c>
      <c r="U46" s="33">
        <f t="shared" ref="U46:U75" si="31">S46+T46</f>
        <v>1387152</v>
      </c>
      <c r="V46" s="33">
        <f>'[1]Summary for IPSIS'!$BD$40+'[1]Summary for IPSIS'!$BE$40</f>
        <v>1387152</v>
      </c>
      <c r="W46" s="33">
        <f>'[1]Summary for IPSIS'!$BF$40</f>
        <v>0</v>
      </c>
      <c r="X46" s="33">
        <f t="shared" ref="X46:X75" si="32">V46+W46</f>
        <v>1387152</v>
      </c>
      <c r="Y46" s="33">
        <f t="shared" ref="Y46:Y75" si="33">J46+M46+P46+S46+V46</f>
        <v>6935760</v>
      </c>
      <c r="Z46" s="33">
        <f t="shared" ref="Z46:Z75" si="34">K46+N46+Q46+T46+W46</f>
        <v>0</v>
      </c>
      <c r="AA46" s="33">
        <f t="shared" ref="AA46:AA75" si="35">Y46+Z46</f>
        <v>6935760</v>
      </c>
      <c r="AB46" s="33">
        <f>1387152+1387152+1387152</f>
        <v>4161456</v>
      </c>
      <c r="AC46" s="33">
        <f>0</f>
        <v>0</v>
      </c>
      <c r="AD46" s="33">
        <f t="shared" ref="AD46:AD75" si="36">AB46+AC46</f>
        <v>4161456</v>
      </c>
      <c r="AE46" s="33">
        <f>0</f>
        <v>0</v>
      </c>
      <c r="AF46" s="33">
        <f>0</f>
        <v>0</v>
      </c>
      <c r="AG46" s="33"/>
      <c r="AH46" s="33">
        <f t="shared" ref="AH46:AH75" si="37">AE46+AF46</f>
        <v>0</v>
      </c>
      <c r="AI46" s="33">
        <f>1387152+1387152</f>
        <v>2774304</v>
      </c>
      <c r="AJ46" s="33">
        <f>0</f>
        <v>0</v>
      </c>
      <c r="AK46" s="33">
        <f t="shared" ref="AK46:AK75" si="38">AI46+AJ46</f>
        <v>2774304</v>
      </c>
      <c r="AL46" s="210">
        <f t="shared" si="27"/>
        <v>0</v>
      </c>
    </row>
    <row r="47" spans="2:46" s="23" customFormat="1" ht="58.2" customHeight="1">
      <c r="B47" s="93" t="s">
        <v>13</v>
      </c>
      <c r="C47" s="195" t="s">
        <v>487</v>
      </c>
      <c r="D47" s="196" t="s">
        <v>582</v>
      </c>
      <c r="E47" s="187" t="s">
        <v>532</v>
      </c>
      <c r="F47" s="17" t="s">
        <v>574</v>
      </c>
      <c r="G47" s="17" t="s">
        <v>168</v>
      </c>
      <c r="H47" s="181">
        <v>2021</v>
      </c>
      <c r="I47" s="181">
        <v>2023</v>
      </c>
      <c r="J47" s="33">
        <f>'[1]Summary for IPSIS'!$H$41+'[1]Summary for IPSIS'!$I$41</f>
        <v>1617280</v>
      </c>
      <c r="K47" s="33">
        <f>'[1]Summary for IPSIS'!$J$41</f>
        <v>0</v>
      </c>
      <c r="L47" s="33">
        <f t="shared" si="28"/>
        <v>1617280</v>
      </c>
      <c r="M47" s="33">
        <f>'[1]Summary for IPSIS'!$T$41+'[1]Summary for IPSIS'!$U$41</f>
        <v>1617280</v>
      </c>
      <c r="N47" s="33">
        <f>'[1]Summary for IPSIS'!$V$41</f>
        <v>0</v>
      </c>
      <c r="O47" s="33">
        <f t="shared" si="29"/>
        <v>1617280</v>
      </c>
      <c r="P47" s="33">
        <f>'[1]Summary for IPSIS'!$AF$41+'[1]Summary for IPSIS'!$AG$41</f>
        <v>1617280</v>
      </c>
      <c r="Q47" s="33">
        <f>'[1]Summary for IPSIS'!$AH$41</f>
        <v>0</v>
      </c>
      <c r="R47" s="33">
        <f t="shared" si="30"/>
        <v>1617280</v>
      </c>
      <c r="S47" s="33">
        <f>'[1]Summary for IPSIS'!$AR$41+'[1]Summary for IPSIS'!$AS$41</f>
        <v>0</v>
      </c>
      <c r="T47" s="33">
        <f>'[1]Summary for IPSIS'!$AT$41</f>
        <v>0</v>
      </c>
      <c r="U47" s="33">
        <f t="shared" si="31"/>
        <v>0</v>
      </c>
      <c r="V47" s="33">
        <f>'[1]Summary for IPSIS'!$BD$41+'[1]Summary for IPSIS'!$BE$41</f>
        <v>0</v>
      </c>
      <c r="W47" s="33">
        <f>'[1]Summary for IPSIS'!$BF$41</f>
        <v>0</v>
      </c>
      <c r="X47" s="33">
        <f t="shared" si="32"/>
        <v>0</v>
      </c>
      <c r="Y47" s="33">
        <f t="shared" si="33"/>
        <v>4851840</v>
      </c>
      <c r="Z47" s="33">
        <f t="shared" si="34"/>
        <v>0</v>
      </c>
      <c r="AA47" s="33">
        <f t="shared" si="35"/>
        <v>4851840</v>
      </c>
      <c r="AB47" s="33">
        <f>1617280+1617280+1617280</f>
        <v>4851840</v>
      </c>
      <c r="AC47" s="33">
        <f>0</f>
        <v>0</v>
      </c>
      <c r="AD47" s="33">
        <f t="shared" si="36"/>
        <v>4851840</v>
      </c>
      <c r="AE47" s="33">
        <f>0</f>
        <v>0</v>
      </c>
      <c r="AF47" s="33">
        <f>0</f>
        <v>0</v>
      </c>
      <c r="AG47" s="33"/>
      <c r="AH47" s="33">
        <f t="shared" si="37"/>
        <v>0</v>
      </c>
      <c r="AI47" s="33">
        <f>0</f>
        <v>0</v>
      </c>
      <c r="AJ47" s="33">
        <f>0</f>
        <v>0</v>
      </c>
      <c r="AK47" s="33">
        <f t="shared" si="38"/>
        <v>0</v>
      </c>
      <c r="AL47" s="210">
        <f t="shared" si="27"/>
        <v>0</v>
      </c>
    </row>
    <row r="48" spans="2:46" s="23" customFormat="1" ht="66" customHeight="1">
      <c r="B48" s="93" t="s">
        <v>14</v>
      </c>
      <c r="C48" s="188" t="s">
        <v>488</v>
      </c>
      <c r="D48" s="194" t="s">
        <v>583</v>
      </c>
      <c r="E48" s="187" t="s">
        <v>532</v>
      </c>
      <c r="F48" s="17" t="s">
        <v>574</v>
      </c>
      <c r="G48" s="190" t="s">
        <v>631</v>
      </c>
      <c r="H48" s="181">
        <v>2021</v>
      </c>
      <c r="I48" s="181">
        <v>2025</v>
      </c>
      <c r="J48" s="33">
        <f>'[1]Summary for IPSIS'!$H$42+'[1]Summary for IPSIS'!$I$42</f>
        <v>0</v>
      </c>
      <c r="K48" s="33">
        <f>'[1]Summary for IPSIS'!$J$42</f>
        <v>6900000</v>
      </c>
      <c r="L48" s="33">
        <f t="shared" si="28"/>
        <v>6900000</v>
      </c>
      <c r="M48" s="33">
        <f>'[1]Summary for IPSIS'!$T$42+'[1]Summary for IPSIS'!$U$42</f>
        <v>0</v>
      </c>
      <c r="N48" s="33">
        <f>'[1]Summary for IPSIS'!$V$42</f>
        <v>7130000</v>
      </c>
      <c r="O48" s="33">
        <f t="shared" si="29"/>
        <v>7130000</v>
      </c>
      <c r="P48" s="33">
        <f>'[1]Summary for IPSIS'!$AF$42+'[1]Summary for IPSIS'!$AG$42</f>
        <v>0</v>
      </c>
      <c r="Q48" s="33">
        <f>'[1]Summary for IPSIS'!$AH$42</f>
        <v>7130000</v>
      </c>
      <c r="R48" s="33">
        <f t="shared" si="30"/>
        <v>7130000</v>
      </c>
      <c r="S48" s="33">
        <f>'[1]Summary for IPSIS'!$AR$42+'[1]Summary for IPSIS'!$AS$42</f>
        <v>0</v>
      </c>
      <c r="T48" s="33">
        <f>'[1]Summary for IPSIS'!$AT$42</f>
        <v>6900000</v>
      </c>
      <c r="U48" s="33">
        <f t="shared" si="31"/>
        <v>6900000</v>
      </c>
      <c r="V48" s="33">
        <f>'[1]Summary for IPSIS'!$BD$42+'[1]Summary for IPSIS'!$BE$42</f>
        <v>0</v>
      </c>
      <c r="W48" s="33">
        <f>'[1]Summary for IPSIS'!$BF$42</f>
        <v>6900000</v>
      </c>
      <c r="X48" s="33">
        <f t="shared" si="32"/>
        <v>6900000</v>
      </c>
      <c r="Y48" s="33">
        <f t="shared" si="33"/>
        <v>0</v>
      </c>
      <c r="Z48" s="33">
        <f t="shared" si="34"/>
        <v>34960000</v>
      </c>
      <c r="AA48" s="33">
        <f t="shared" si="35"/>
        <v>34960000</v>
      </c>
      <c r="AB48" s="33">
        <f>0+0+0</f>
        <v>0</v>
      </c>
      <c r="AC48" s="33">
        <f>6900000+7130000+7130000</f>
        <v>21160000</v>
      </c>
      <c r="AD48" s="33">
        <f t="shared" si="36"/>
        <v>21160000</v>
      </c>
      <c r="AE48" s="33">
        <f>0</f>
        <v>0</v>
      </c>
      <c r="AF48" s="33">
        <f>0</f>
        <v>0</v>
      </c>
      <c r="AG48" s="33"/>
      <c r="AH48" s="33">
        <f t="shared" si="37"/>
        <v>0</v>
      </c>
      <c r="AI48" s="33">
        <f>0</f>
        <v>0</v>
      </c>
      <c r="AJ48" s="33">
        <f>6900000+6900000</f>
        <v>13800000</v>
      </c>
      <c r="AK48" s="33">
        <f t="shared" si="38"/>
        <v>13800000</v>
      </c>
      <c r="AL48" s="210">
        <f t="shared" si="27"/>
        <v>0</v>
      </c>
    </row>
    <row r="49" spans="2:38" s="23" customFormat="1" ht="54" customHeight="1">
      <c r="B49" s="93" t="s">
        <v>459</v>
      </c>
      <c r="C49" s="188" t="s">
        <v>612</v>
      </c>
      <c r="D49" s="194" t="s">
        <v>584</v>
      </c>
      <c r="E49" s="189" t="s">
        <v>628</v>
      </c>
      <c r="F49" s="17" t="s">
        <v>574</v>
      </c>
      <c r="G49" s="190" t="s">
        <v>631</v>
      </c>
      <c r="H49" s="181">
        <v>2021</v>
      </c>
      <c r="I49" s="181">
        <v>2025</v>
      </c>
      <c r="J49" s="33">
        <f>'[1]Summary for IPSIS'!$H$43+'[1]Summary for IPSIS'!$I$43</f>
        <v>0</v>
      </c>
      <c r="K49" s="33">
        <f>'[1]Summary for IPSIS'!$J$43</f>
        <v>724500</v>
      </c>
      <c r="L49" s="33">
        <f t="shared" si="28"/>
        <v>724500</v>
      </c>
      <c r="M49" s="33">
        <f>'[1]Summary for IPSIS'!$T$43+'[1]Summary for IPSIS'!$U$43</f>
        <v>0</v>
      </c>
      <c r="N49" s="33">
        <f>'[1]Summary for IPSIS'!$V$43</f>
        <v>713000</v>
      </c>
      <c r="O49" s="33">
        <f t="shared" si="29"/>
        <v>713000</v>
      </c>
      <c r="P49" s="33">
        <f>'[1]Summary for IPSIS'!$AF$43+'[1]Summary for IPSIS'!$AG$43</f>
        <v>0</v>
      </c>
      <c r="Q49" s="33">
        <f>'[1]Summary for IPSIS'!$AH$43</f>
        <v>713000</v>
      </c>
      <c r="R49" s="33">
        <f t="shared" si="30"/>
        <v>713000</v>
      </c>
      <c r="S49" s="33">
        <f>'[1]Summary for IPSIS'!$AR$43+'[1]Summary for IPSIS'!$AS$43</f>
        <v>0</v>
      </c>
      <c r="T49" s="33">
        <f>'[1]Summary for IPSIS'!$AT$43</f>
        <v>736000</v>
      </c>
      <c r="U49" s="33">
        <f t="shared" si="31"/>
        <v>736000</v>
      </c>
      <c r="V49" s="33">
        <f>'[1]Summary for IPSIS'!$BD$43+'[1]Summary for IPSIS'!$BE$43</f>
        <v>0</v>
      </c>
      <c r="W49" s="33">
        <f>'[1]Summary for IPSIS'!$BF$43</f>
        <v>724500</v>
      </c>
      <c r="X49" s="33">
        <f t="shared" si="32"/>
        <v>724500</v>
      </c>
      <c r="Y49" s="33">
        <f t="shared" si="33"/>
        <v>0</v>
      </c>
      <c r="Z49" s="33">
        <f t="shared" si="34"/>
        <v>3611000</v>
      </c>
      <c r="AA49" s="33">
        <f t="shared" si="35"/>
        <v>3611000</v>
      </c>
      <c r="AB49" s="33">
        <f>0+0+0</f>
        <v>0</v>
      </c>
      <c r="AC49" s="33">
        <f>724500+713000+713000</f>
        <v>2150500</v>
      </c>
      <c r="AD49" s="33">
        <f t="shared" si="36"/>
        <v>2150500</v>
      </c>
      <c r="AE49" s="33">
        <f>0</f>
        <v>0</v>
      </c>
      <c r="AF49" s="33">
        <f>0</f>
        <v>0</v>
      </c>
      <c r="AG49" s="33"/>
      <c r="AH49" s="33">
        <f t="shared" si="37"/>
        <v>0</v>
      </c>
      <c r="AI49" s="33">
        <f>0</f>
        <v>0</v>
      </c>
      <c r="AJ49" s="33">
        <f>736000+724500</f>
        <v>1460500</v>
      </c>
      <c r="AK49" s="33">
        <f t="shared" si="38"/>
        <v>1460500</v>
      </c>
      <c r="AL49" s="210">
        <f t="shared" si="27"/>
        <v>0</v>
      </c>
    </row>
    <row r="50" spans="2:38" s="23" customFormat="1" ht="54" customHeight="1">
      <c r="B50" s="93" t="s">
        <v>460</v>
      </c>
      <c r="C50" s="188" t="s">
        <v>613</v>
      </c>
      <c r="D50" s="194" t="s">
        <v>585</v>
      </c>
      <c r="E50" s="187" t="s">
        <v>532</v>
      </c>
      <c r="F50" s="17" t="s">
        <v>633</v>
      </c>
      <c r="G50" s="17" t="s">
        <v>632</v>
      </c>
      <c r="H50" s="181">
        <v>2021</v>
      </c>
      <c r="I50" s="181">
        <v>2025</v>
      </c>
      <c r="J50" s="33">
        <f>'[1]Summary for IPSIS'!$H$44+'[1]Summary for IPSIS'!$I$44</f>
        <v>0</v>
      </c>
      <c r="K50" s="33">
        <f>'[1]Summary for IPSIS'!$J$44</f>
        <v>1955000</v>
      </c>
      <c r="L50" s="33">
        <f t="shared" si="28"/>
        <v>1955000</v>
      </c>
      <c r="M50" s="33">
        <f>'[1]Summary for IPSIS'!$T$44+'[1]Summary for IPSIS'!$U$44</f>
        <v>0</v>
      </c>
      <c r="N50" s="33">
        <f>'[1]Summary for IPSIS'!$V$44</f>
        <v>1955000</v>
      </c>
      <c r="O50" s="33">
        <f t="shared" si="29"/>
        <v>1955000</v>
      </c>
      <c r="P50" s="33">
        <f>'[1]Summary for IPSIS'!$AF$44+'[1]Summary for IPSIS'!$AG$44</f>
        <v>0</v>
      </c>
      <c r="Q50" s="33">
        <f>'[1]Summary for IPSIS'!$AH$44</f>
        <v>1955000</v>
      </c>
      <c r="R50" s="33">
        <f t="shared" si="30"/>
        <v>1955000</v>
      </c>
      <c r="S50" s="33">
        <f>'[1]Summary for IPSIS'!$AR$44+'[1]Summary for IPSIS'!$AS$44</f>
        <v>0</v>
      </c>
      <c r="T50" s="33">
        <f>'[1]Summary for IPSIS'!$AT$44</f>
        <v>2070000</v>
      </c>
      <c r="U50" s="33">
        <f t="shared" si="31"/>
        <v>2070000</v>
      </c>
      <c r="V50" s="33">
        <f>'[1]Summary for IPSIS'!$BD$44+'[1]Summary for IPSIS'!$BE$44</f>
        <v>0</v>
      </c>
      <c r="W50" s="33">
        <f>'[1]Summary for IPSIS'!$BF$44</f>
        <v>2070000</v>
      </c>
      <c r="X50" s="33">
        <f t="shared" si="32"/>
        <v>2070000</v>
      </c>
      <c r="Y50" s="33">
        <f t="shared" si="33"/>
        <v>0</v>
      </c>
      <c r="Z50" s="33">
        <f t="shared" si="34"/>
        <v>10005000</v>
      </c>
      <c r="AA50" s="33">
        <f t="shared" si="35"/>
        <v>10005000</v>
      </c>
      <c r="AB50" s="33">
        <f>0+0+0</f>
        <v>0</v>
      </c>
      <c r="AC50" s="33">
        <f>1955000+1955000+1955000</f>
        <v>5865000</v>
      </c>
      <c r="AD50" s="33">
        <f t="shared" si="36"/>
        <v>5865000</v>
      </c>
      <c r="AE50" s="33">
        <f>0</f>
        <v>0</v>
      </c>
      <c r="AF50" s="33">
        <f>0</f>
        <v>0</v>
      </c>
      <c r="AG50" s="33"/>
      <c r="AH50" s="33">
        <f t="shared" si="37"/>
        <v>0</v>
      </c>
      <c r="AI50" s="33">
        <f>0</f>
        <v>0</v>
      </c>
      <c r="AJ50" s="33">
        <f>2070000+2070000</f>
        <v>4140000</v>
      </c>
      <c r="AK50" s="33">
        <f t="shared" si="38"/>
        <v>4140000</v>
      </c>
      <c r="AL50" s="210">
        <f t="shared" si="27"/>
        <v>0</v>
      </c>
    </row>
    <row r="51" spans="2:38" s="23" customFormat="1" ht="54" customHeight="1">
      <c r="B51" s="93" t="s">
        <v>461</v>
      </c>
      <c r="C51" s="188" t="s">
        <v>614</v>
      </c>
      <c r="D51" s="194" t="s">
        <v>586</v>
      </c>
      <c r="E51" s="189" t="s">
        <v>532</v>
      </c>
      <c r="F51" s="17" t="s">
        <v>574</v>
      </c>
      <c r="G51" s="17" t="s">
        <v>635</v>
      </c>
      <c r="H51" s="181">
        <v>2021</v>
      </c>
      <c r="I51" s="181">
        <v>2025</v>
      </c>
      <c r="J51" s="33">
        <f>'[1]Summary for IPSIS'!$H$45+'[1]Summary for IPSIS'!$I$45</f>
        <v>0</v>
      </c>
      <c r="K51" s="33">
        <f>'[1]Summary for IPSIS'!$J$45</f>
        <v>0</v>
      </c>
      <c r="L51" s="33">
        <f t="shared" si="28"/>
        <v>0</v>
      </c>
      <c r="M51" s="33">
        <f>'[1]Summary for IPSIS'!$T$45+'[1]Summary for IPSIS'!$U$45</f>
        <v>798000</v>
      </c>
      <c r="N51" s="33">
        <f>'[1]Summary for IPSIS'!$V$45</f>
        <v>0</v>
      </c>
      <c r="O51" s="33">
        <f t="shared" si="29"/>
        <v>798000</v>
      </c>
      <c r="P51" s="33">
        <f>'[1]Summary for IPSIS'!$AF$45+'[1]Summary for IPSIS'!$AG$45</f>
        <v>798000</v>
      </c>
      <c r="Q51" s="33">
        <f>'[1]Summary for IPSIS'!$AH$45</f>
        <v>0</v>
      </c>
      <c r="R51" s="33">
        <f t="shared" si="30"/>
        <v>798000</v>
      </c>
      <c r="S51" s="33">
        <f>'[1]Summary for IPSIS'!$AR$45+'[1]Summary for IPSIS'!$AS$45</f>
        <v>798000</v>
      </c>
      <c r="T51" s="33">
        <f>'[1]Summary for IPSIS'!$AT$45</f>
        <v>0</v>
      </c>
      <c r="U51" s="33">
        <f t="shared" si="31"/>
        <v>798000</v>
      </c>
      <c r="V51" s="33">
        <f>'[1]Summary for IPSIS'!$BD$45+'[1]Summary for IPSIS'!$BE$45</f>
        <v>798000</v>
      </c>
      <c r="W51" s="33">
        <f>'[1]Summary for IPSIS'!$BF$45</f>
        <v>0</v>
      </c>
      <c r="X51" s="33">
        <f t="shared" si="32"/>
        <v>798000</v>
      </c>
      <c r="Y51" s="33">
        <f t="shared" si="33"/>
        <v>3192000</v>
      </c>
      <c r="Z51" s="33">
        <f t="shared" si="34"/>
        <v>0</v>
      </c>
      <c r="AA51" s="33">
        <f t="shared" si="35"/>
        <v>3192000</v>
      </c>
      <c r="AB51" s="33">
        <f>0+0+0</f>
        <v>0</v>
      </c>
      <c r="AC51" s="33">
        <f>0</f>
        <v>0</v>
      </c>
      <c r="AD51" s="33">
        <f t="shared" si="36"/>
        <v>0</v>
      </c>
      <c r="AE51" s="33">
        <f>0</f>
        <v>0</v>
      </c>
      <c r="AF51" s="33">
        <f>0</f>
        <v>0</v>
      </c>
      <c r="AG51" s="33"/>
      <c r="AH51" s="33">
        <f t="shared" si="37"/>
        <v>0</v>
      </c>
      <c r="AI51" s="33">
        <f>0</f>
        <v>0</v>
      </c>
      <c r="AJ51" s="33">
        <f>0</f>
        <v>0</v>
      </c>
      <c r="AK51" s="33">
        <f t="shared" si="38"/>
        <v>0</v>
      </c>
      <c r="AL51" s="210">
        <f t="shared" si="27"/>
        <v>-3192000</v>
      </c>
    </row>
    <row r="52" spans="2:38" s="23" customFormat="1" ht="54" customHeight="1">
      <c r="B52" s="93" t="s">
        <v>462</v>
      </c>
      <c r="C52" s="188" t="s">
        <v>615</v>
      </c>
      <c r="D52" s="194" t="s">
        <v>587</v>
      </c>
      <c r="E52" s="189" t="s">
        <v>532</v>
      </c>
      <c r="F52" s="17" t="s">
        <v>574</v>
      </c>
      <c r="G52" s="17" t="s">
        <v>636</v>
      </c>
      <c r="H52" s="181">
        <v>2021</v>
      </c>
      <c r="I52" s="181">
        <v>2022</v>
      </c>
      <c r="J52" s="33">
        <f>'[1]Summary for IPSIS'!$H$46+'[1]Summary for IPSIS'!$I$46</f>
        <v>249600</v>
      </c>
      <c r="K52" s="33">
        <f>'[1]Summary for IPSIS'!$J$46</f>
        <v>0</v>
      </c>
      <c r="L52" s="33">
        <f t="shared" si="28"/>
        <v>249600</v>
      </c>
      <c r="M52" s="33">
        <f>'[1]Summary for IPSIS'!$T$46+'[1]Summary for IPSIS'!$U$46</f>
        <v>249600</v>
      </c>
      <c r="N52" s="33">
        <f>'[1]Summary for IPSIS'!$V$46</f>
        <v>0</v>
      </c>
      <c r="O52" s="33">
        <f t="shared" si="29"/>
        <v>249600</v>
      </c>
      <c r="P52" s="33">
        <f>'[1]Summary for IPSIS'!$AF$46+'[1]Summary for IPSIS'!$AG$46</f>
        <v>0</v>
      </c>
      <c r="Q52" s="33">
        <f>'[1]Summary for IPSIS'!$AH$46</f>
        <v>0</v>
      </c>
      <c r="R52" s="33">
        <f t="shared" si="30"/>
        <v>0</v>
      </c>
      <c r="S52" s="33">
        <f>'[1]Summary for IPSIS'!$AR$46+'[1]Summary for IPSIS'!$AS$46</f>
        <v>0</v>
      </c>
      <c r="T52" s="33">
        <f>'[1]Summary for IPSIS'!$AT$46</f>
        <v>0</v>
      </c>
      <c r="U52" s="33">
        <f t="shared" si="31"/>
        <v>0</v>
      </c>
      <c r="V52" s="33">
        <f>'[1]Summary for IPSIS'!$BD$46+'[1]Summary for IPSIS'!$BE$46</f>
        <v>0</v>
      </c>
      <c r="W52" s="33">
        <f>'[1]Summary for IPSIS'!$BF$46</f>
        <v>0</v>
      </c>
      <c r="X52" s="33">
        <f t="shared" si="32"/>
        <v>0</v>
      </c>
      <c r="Y52" s="33">
        <f t="shared" si="33"/>
        <v>499200</v>
      </c>
      <c r="Z52" s="33">
        <f t="shared" si="34"/>
        <v>0</v>
      </c>
      <c r="AA52" s="33">
        <f t="shared" si="35"/>
        <v>499200</v>
      </c>
      <c r="AB52" s="33">
        <f>0</f>
        <v>0</v>
      </c>
      <c r="AC52" s="33">
        <f>0</f>
        <v>0</v>
      </c>
      <c r="AD52" s="33">
        <f t="shared" si="36"/>
        <v>0</v>
      </c>
      <c r="AE52" s="33">
        <f>0</f>
        <v>0</v>
      </c>
      <c r="AF52" s="33">
        <f>0</f>
        <v>0</v>
      </c>
      <c r="AG52" s="33"/>
      <c r="AH52" s="33">
        <f t="shared" si="37"/>
        <v>0</v>
      </c>
      <c r="AI52" s="33">
        <f>0</f>
        <v>0</v>
      </c>
      <c r="AJ52" s="33">
        <f>0</f>
        <v>0</v>
      </c>
      <c r="AK52" s="33">
        <f t="shared" si="38"/>
        <v>0</v>
      </c>
      <c r="AL52" s="210">
        <f t="shared" si="27"/>
        <v>-499200</v>
      </c>
    </row>
    <row r="53" spans="2:38" s="23" customFormat="1" ht="54" customHeight="1">
      <c r="B53" s="93" t="s">
        <v>463</v>
      </c>
      <c r="C53" s="188" t="s">
        <v>616</v>
      </c>
      <c r="D53" s="194" t="s">
        <v>588</v>
      </c>
      <c r="E53" s="189" t="s">
        <v>532</v>
      </c>
      <c r="F53" s="17" t="s">
        <v>574</v>
      </c>
      <c r="G53" s="17" t="s">
        <v>637</v>
      </c>
      <c r="H53" s="181">
        <v>2021</v>
      </c>
      <c r="I53" s="181">
        <v>2025</v>
      </c>
      <c r="J53" s="33">
        <f>'[1]Summary for IPSIS'!$H$47+'[1]Summary for IPSIS'!$I$47</f>
        <v>0</v>
      </c>
      <c r="K53" s="33">
        <f>'[1]Summary for IPSIS'!$J$47</f>
        <v>0</v>
      </c>
      <c r="L53" s="33">
        <f t="shared" si="28"/>
        <v>0</v>
      </c>
      <c r="M53" s="33">
        <f>'[1]Summary for IPSIS'!$T$47+'[1]Summary for IPSIS'!$U$47</f>
        <v>249600</v>
      </c>
      <c r="N53" s="33">
        <f>'[1]Summary for IPSIS'!$V$47</f>
        <v>0</v>
      </c>
      <c r="O53" s="33">
        <f t="shared" si="29"/>
        <v>249600</v>
      </c>
      <c r="P53" s="33">
        <f>'[1]Summary for IPSIS'!$AF$47+'[1]Summary for IPSIS'!$AG$47</f>
        <v>249600</v>
      </c>
      <c r="Q53" s="33">
        <f>'[1]Summary for IPSIS'!$AH$47</f>
        <v>0</v>
      </c>
      <c r="R53" s="33">
        <f t="shared" si="30"/>
        <v>249600</v>
      </c>
      <c r="S53" s="33">
        <f>'[1]Summary for IPSIS'!$AR$47+'[1]Summary for IPSIS'!$AS$47</f>
        <v>0</v>
      </c>
      <c r="T53" s="33">
        <f>'[1]Summary for IPSIS'!$AT$47</f>
        <v>0</v>
      </c>
      <c r="U53" s="33">
        <f t="shared" si="31"/>
        <v>0</v>
      </c>
      <c r="V53" s="33">
        <f>'[1]Summary for IPSIS'!$BD$47+'[1]Summary for IPSIS'!$BE$47</f>
        <v>0</v>
      </c>
      <c r="W53" s="33">
        <f>'[1]Summary for IPSIS'!$BF$47</f>
        <v>0</v>
      </c>
      <c r="X53" s="33">
        <f t="shared" si="32"/>
        <v>0</v>
      </c>
      <c r="Y53" s="33">
        <f t="shared" si="33"/>
        <v>499200</v>
      </c>
      <c r="Z53" s="33">
        <f t="shared" si="34"/>
        <v>0</v>
      </c>
      <c r="AA53" s="33">
        <f t="shared" si="35"/>
        <v>499200</v>
      </c>
      <c r="AB53" s="33">
        <f>0</f>
        <v>0</v>
      </c>
      <c r="AC53" s="33">
        <f>0</f>
        <v>0</v>
      </c>
      <c r="AD53" s="33">
        <f t="shared" si="36"/>
        <v>0</v>
      </c>
      <c r="AE53" s="33">
        <f>0</f>
        <v>0</v>
      </c>
      <c r="AF53" s="33">
        <f>0</f>
        <v>0</v>
      </c>
      <c r="AG53" s="33"/>
      <c r="AH53" s="33">
        <f t="shared" si="37"/>
        <v>0</v>
      </c>
      <c r="AI53" s="33">
        <f>0</f>
        <v>0</v>
      </c>
      <c r="AJ53" s="33">
        <f>0</f>
        <v>0</v>
      </c>
      <c r="AK53" s="33">
        <f t="shared" si="38"/>
        <v>0</v>
      </c>
      <c r="AL53" s="210">
        <f t="shared" si="27"/>
        <v>-499200</v>
      </c>
    </row>
    <row r="54" spans="2:38" s="23" customFormat="1" ht="54" customHeight="1">
      <c r="B54" s="93" t="s">
        <v>464</v>
      </c>
      <c r="C54" s="188" t="s">
        <v>617</v>
      </c>
      <c r="D54" s="194" t="s">
        <v>589</v>
      </c>
      <c r="E54" s="189" t="s">
        <v>429</v>
      </c>
      <c r="F54" s="17" t="s">
        <v>168</v>
      </c>
      <c r="G54" s="17" t="s">
        <v>638</v>
      </c>
      <c r="H54" s="181">
        <v>2021</v>
      </c>
      <c r="I54" s="181">
        <v>2023</v>
      </c>
      <c r="J54" s="33">
        <f>'[1]Summary for IPSIS'!$H$48+'[1]Summary for IPSIS'!$I$48</f>
        <v>342000</v>
      </c>
      <c r="K54" s="33">
        <f>'[1]Summary for IPSIS'!$J$48</f>
        <v>0</v>
      </c>
      <c r="L54" s="33">
        <f t="shared" si="28"/>
        <v>342000</v>
      </c>
      <c r="M54" s="33">
        <f>'[1]Summary for IPSIS'!$T$48+'[1]Summary for IPSIS'!$U$48</f>
        <v>342000</v>
      </c>
      <c r="N54" s="33">
        <f>'[1]Summary for IPSIS'!$V$48</f>
        <v>0</v>
      </c>
      <c r="O54" s="33">
        <f t="shared" si="29"/>
        <v>342000</v>
      </c>
      <c r="P54" s="33">
        <f>'[1]Summary for IPSIS'!$AF$48+'[1]Summary for IPSIS'!$AG$48</f>
        <v>342000</v>
      </c>
      <c r="Q54" s="33">
        <f>'[1]Summary for IPSIS'!$AH$48</f>
        <v>0</v>
      </c>
      <c r="R54" s="33">
        <f t="shared" si="30"/>
        <v>342000</v>
      </c>
      <c r="S54" s="33">
        <f>'[1]Summary for IPSIS'!$AR$48+'[1]Summary for IPSIS'!$AS$48</f>
        <v>0</v>
      </c>
      <c r="T54" s="33">
        <f>'[1]Summary for IPSIS'!$AT$48</f>
        <v>0</v>
      </c>
      <c r="U54" s="33">
        <f t="shared" si="31"/>
        <v>0</v>
      </c>
      <c r="V54" s="33">
        <f>'[1]Summary for IPSIS'!$BD$48+'[1]Summary for IPSIS'!$BE$48</f>
        <v>0</v>
      </c>
      <c r="W54" s="33">
        <f>'[1]Summary for IPSIS'!$BF$48</f>
        <v>0</v>
      </c>
      <c r="X54" s="33">
        <f t="shared" si="32"/>
        <v>0</v>
      </c>
      <c r="Y54" s="33">
        <f t="shared" si="33"/>
        <v>1026000</v>
      </c>
      <c r="Z54" s="33">
        <f t="shared" si="34"/>
        <v>0</v>
      </c>
      <c r="AA54" s="33">
        <f t="shared" si="35"/>
        <v>1026000</v>
      </c>
      <c r="AB54" s="33">
        <f>0</f>
        <v>0</v>
      </c>
      <c r="AC54" s="33">
        <f>0</f>
        <v>0</v>
      </c>
      <c r="AD54" s="33">
        <f t="shared" si="36"/>
        <v>0</v>
      </c>
      <c r="AE54" s="33">
        <f>0</f>
        <v>0</v>
      </c>
      <c r="AF54" s="33">
        <f>0</f>
        <v>0</v>
      </c>
      <c r="AG54" s="33"/>
      <c r="AH54" s="33">
        <f t="shared" si="37"/>
        <v>0</v>
      </c>
      <c r="AI54" s="33">
        <f>0</f>
        <v>0</v>
      </c>
      <c r="AJ54" s="33">
        <f>0</f>
        <v>0</v>
      </c>
      <c r="AK54" s="33">
        <f t="shared" si="38"/>
        <v>0</v>
      </c>
      <c r="AL54" s="210">
        <f t="shared" si="27"/>
        <v>-1026000</v>
      </c>
    </row>
    <row r="55" spans="2:38" s="23" customFormat="1" ht="54" customHeight="1">
      <c r="B55" s="93" t="s">
        <v>465</v>
      </c>
      <c r="C55" s="188" t="s">
        <v>489</v>
      </c>
      <c r="D55" s="194" t="s">
        <v>590</v>
      </c>
      <c r="E55" s="189" t="s">
        <v>429</v>
      </c>
      <c r="F55" s="17" t="s">
        <v>168</v>
      </c>
      <c r="G55" s="17" t="s">
        <v>634</v>
      </c>
      <c r="H55" s="181">
        <v>2022</v>
      </c>
      <c r="I55" s="181">
        <v>2025</v>
      </c>
      <c r="J55" s="33">
        <f>'[1]Summary for IPSIS'!$H$49+'[1]Summary for IPSIS'!$I$49</f>
        <v>0</v>
      </c>
      <c r="K55" s="33">
        <f>'[1]Summary for IPSIS'!$J$49</f>
        <v>0</v>
      </c>
      <c r="L55" s="33">
        <f t="shared" si="28"/>
        <v>0</v>
      </c>
      <c r="M55" s="33">
        <f>'[1]Summary for IPSIS'!$T$49+'[1]Summary for IPSIS'!$U$49</f>
        <v>808640</v>
      </c>
      <c r="N55" s="33">
        <f>'[1]Summary for IPSIS'!$V$49</f>
        <v>0</v>
      </c>
      <c r="O55" s="33">
        <f t="shared" si="29"/>
        <v>808640</v>
      </c>
      <c r="P55" s="33">
        <f>'[1]Summary for IPSIS'!$AF$49+'[1]Summary for IPSIS'!$AG$49</f>
        <v>805840</v>
      </c>
      <c r="Q55" s="33">
        <f>'[1]Summary for IPSIS'!$AH$49</f>
        <v>0</v>
      </c>
      <c r="R55" s="33">
        <f t="shared" si="30"/>
        <v>805840</v>
      </c>
      <c r="S55" s="33">
        <f>'[1]Summary for IPSIS'!$AR$49+'[1]Summary for IPSIS'!$AS$49</f>
        <v>1617280</v>
      </c>
      <c r="T55" s="33">
        <f>'[1]Summary for IPSIS'!$AT$49</f>
        <v>0</v>
      </c>
      <c r="U55" s="33">
        <f t="shared" si="31"/>
        <v>1617280</v>
      </c>
      <c r="V55" s="33">
        <f>'[1]Summary for IPSIS'!$BD$49+'[1]Summary for IPSIS'!$BE$49</f>
        <v>1617280</v>
      </c>
      <c r="W55" s="33">
        <f>'[1]Summary for IPSIS'!$BF$49</f>
        <v>0</v>
      </c>
      <c r="X55" s="33">
        <f t="shared" si="32"/>
        <v>1617280</v>
      </c>
      <c r="Y55" s="33">
        <f t="shared" si="33"/>
        <v>4849040</v>
      </c>
      <c r="Z55" s="33">
        <f t="shared" si="34"/>
        <v>0</v>
      </c>
      <c r="AA55" s="33">
        <f t="shared" si="35"/>
        <v>4849040</v>
      </c>
      <c r="AB55" s="33">
        <f>0+808640+805840</f>
        <v>1614480</v>
      </c>
      <c r="AC55" s="33">
        <f>0</f>
        <v>0</v>
      </c>
      <c r="AD55" s="33">
        <f t="shared" si="36"/>
        <v>1614480</v>
      </c>
      <c r="AE55" s="33">
        <f>0</f>
        <v>0</v>
      </c>
      <c r="AF55" s="33">
        <f>0</f>
        <v>0</v>
      </c>
      <c r="AG55" s="33"/>
      <c r="AH55" s="33">
        <f t="shared" si="37"/>
        <v>0</v>
      </c>
      <c r="AI55" s="33">
        <f>1617280+1617280</f>
        <v>3234560</v>
      </c>
      <c r="AJ55" s="33">
        <f>0</f>
        <v>0</v>
      </c>
      <c r="AK55" s="33">
        <f t="shared" si="38"/>
        <v>3234560</v>
      </c>
      <c r="AL55" s="210">
        <f t="shared" si="27"/>
        <v>0</v>
      </c>
    </row>
    <row r="56" spans="2:38" s="23" customFormat="1" ht="54" customHeight="1">
      <c r="B56" s="93" t="s">
        <v>466</v>
      </c>
      <c r="C56" s="188" t="s">
        <v>618</v>
      </c>
      <c r="D56" s="194" t="s">
        <v>591</v>
      </c>
      <c r="E56" s="189" t="s">
        <v>429</v>
      </c>
      <c r="F56" s="17" t="s">
        <v>168</v>
      </c>
      <c r="G56" s="17" t="s">
        <v>634</v>
      </c>
      <c r="H56" s="181">
        <v>2022</v>
      </c>
      <c r="I56" s="181">
        <v>2025</v>
      </c>
      <c r="J56" s="33">
        <f>'[1]Summary for IPSIS'!$H$50+'[1]Summary for IPSIS'!$I$50</f>
        <v>0</v>
      </c>
      <c r="K56" s="33">
        <f>'[1]Summary for IPSIS'!$J$50</f>
        <v>0</v>
      </c>
      <c r="L56" s="33">
        <f t="shared" si="28"/>
        <v>0</v>
      </c>
      <c r="M56" s="33">
        <f>'[1]Summary for IPSIS'!$T$50+'[1]Summary for IPSIS'!$U$50</f>
        <v>1000920</v>
      </c>
      <c r="N56" s="33">
        <f>'[1]Summary for IPSIS'!$V$50</f>
        <v>0</v>
      </c>
      <c r="O56" s="33">
        <f t="shared" si="29"/>
        <v>1000920</v>
      </c>
      <c r="P56" s="33">
        <f>'[1]Summary for IPSIS'!$AF$50+'[1]Summary for IPSIS'!$AG$50</f>
        <v>1000920</v>
      </c>
      <c r="Q56" s="33">
        <f>'[1]Summary for IPSIS'!$AH$50</f>
        <v>0</v>
      </c>
      <c r="R56" s="33">
        <f t="shared" si="30"/>
        <v>1000920</v>
      </c>
      <c r="S56" s="33">
        <f>'[1]Summary for IPSIS'!$AR$50+'[1]Summary for IPSIS'!$AS$50</f>
        <v>1000920</v>
      </c>
      <c r="T56" s="33">
        <f>'[1]Summary for IPSIS'!$AT$50</f>
        <v>0</v>
      </c>
      <c r="U56" s="33">
        <f t="shared" si="31"/>
        <v>1000920</v>
      </c>
      <c r="V56" s="33">
        <f>'[1]Summary for IPSIS'!$BD$50+'[1]Summary for IPSIS'!$BE$50</f>
        <v>1000920</v>
      </c>
      <c r="W56" s="33">
        <f>'[1]Summary for IPSIS'!$BF$50</f>
        <v>0</v>
      </c>
      <c r="X56" s="33">
        <f t="shared" si="32"/>
        <v>1000920</v>
      </c>
      <c r="Y56" s="33">
        <f t="shared" si="33"/>
        <v>4003680</v>
      </c>
      <c r="Z56" s="33">
        <f t="shared" si="34"/>
        <v>0</v>
      </c>
      <c r="AA56" s="33">
        <f t="shared" si="35"/>
        <v>4003680</v>
      </c>
      <c r="AB56" s="33">
        <f>0+316920+316920</f>
        <v>633840</v>
      </c>
      <c r="AC56" s="33">
        <f>0</f>
        <v>0</v>
      </c>
      <c r="AD56" s="33">
        <f t="shared" si="36"/>
        <v>633840</v>
      </c>
      <c r="AE56" s="33">
        <f>0</f>
        <v>0</v>
      </c>
      <c r="AF56" s="33">
        <f>0</f>
        <v>0</v>
      </c>
      <c r="AG56" s="33"/>
      <c r="AH56" s="33">
        <f t="shared" si="37"/>
        <v>0</v>
      </c>
      <c r="AI56" s="33">
        <f>316920+316920</f>
        <v>633840</v>
      </c>
      <c r="AJ56" s="33">
        <f>0</f>
        <v>0</v>
      </c>
      <c r="AK56" s="33">
        <f t="shared" si="38"/>
        <v>633840</v>
      </c>
      <c r="AL56" s="210">
        <f t="shared" si="27"/>
        <v>-2736000</v>
      </c>
    </row>
    <row r="57" spans="2:38" s="23" customFormat="1" ht="62.4" customHeight="1">
      <c r="B57" s="93" t="s">
        <v>467</v>
      </c>
      <c r="C57" s="188" t="s">
        <v>619</v>
      </c>
      <c r="D57" s="194" t="s">
        <v>592</v>
      </c>
      <c r="E57" s="189" t="s">
        <v>429</v>
      </c>
      <c r="F57" s="17" t="s">
        <v>168</v>
      </c>
      <c r="G57" s="17" t="s">
        <v>634</v>
      </c>
      <c r="H57" s="181">
        <v>2022</v>
      </c>
      <c r="I57" s="181">
        <v>2025</v>
      </c>
      <c r="J57" s="33">
        <f>'[1]Summary for IPSIS'!$H$51+'[1]Summary for IPSIS'!$I$51</f>
        <v>0</v>
      </c>
      <c r="K57" s="33">
        <f>'[1]Summary for IPSIS'!$J$51</f>
        <v>0</v>
      </c>
      <c r="L57" s="33">
        <f t="shared" si="28"/>
        <v>0</v>
      </c>
      <c r="M57" s="33">
        <f>'[1]Summary for IPSIS'!$T$51+'[1]Summary for IPSIS'!$U$51</f>
        <v>406560</v>
      </c>
      <c r="N57" s="33">
        <f>'[1]Summary for IPSIS'!$V$51</f>
        <v>0</v>
      </c>
      <c r="O57" s="33">
        <f t="shared" si="29"/>
        <v>406560</v>
      </c>
      <c r="P57" s="33">
        <f>'[1]Summary for IPSIS'!$AF$51+'[1]Summary for IPSIS'!$AG$51</f>
        <v>406560</v>
      </c>
      <c r="Q57" s="33">
        <f>'[1]Summary for IPSIS'!$AH$51</f>
        <v>0</v>
      </c>
      <c r="R57" s="33">
        <f t="shared" si="30"/>
        <v>406560</v>
      </c>
      <c r="S57" s="33">
        <f>'[1]Summary for IPSIS'!$AR$51+'[1]Summary for IPSIS'!$AS$51</f>
        <v>406560</v>
      </c>
      <c r="T57" s="33">
        <f>'[1]Summary for IPSIS'!$AT$51</f>
        <v>0</v>
      </c>
      <c r="U57" s="33">
        <f t="shared" si="31"/>
        <v>406560</v>
      </c>
      <c r="V57" s="33">
        <f>'[1]Summary for IPSIS'!$BD$51+'[1]Summary for IPSIS'!$BE$51</f>
        <v>406560</v>
      </c>
      <c r="W57" s="33">
        <f>'[1]Summary for IPSIS'!$BF$51</f>
        <v>0</v>
      </c>
      <c r="X57" s="33">
        <f t="shared" si="32"/>
        <v>406560</v>
      </c>
      <c r="Y57" s="33">
        <f t="shared" si="33"/>
        <v>1626240</v>
      </c>
      <c r="Z57" s="33">
        <f t="shared" si="34"/>
        <v>0</v>
      </c>
      <c r="AA57" s="33">
        <f t="shared" si="35"/>
        <v>1626240</v>
      </c>
      <c r="AB57" s="33">
        <f>0+406560+406560</f>
        <v>813120</v>
      </c>
      <c r="AC57" s="33">
        <f>0</f>
        <v>0</v>
      </c>
      <c r="AD57" s="33">
        <f t="shared" si="36"/>
        <v>813120</v>
      </c>
      <c r="AE57" s="33">
        <f>0</f>
        <v>0</v>
      </c>
      <c r="AF57" s="33">
        <f>0</f>
        <v>0</v>
      </c>
      <c r="AG57" s="33"/>
      <c r="AH57" s="33">
        <f t="shared" si="37"/>
        <v>0</v>
      </c>
      <c r="AI57" s="33">
        <f>406560+406560</f>
        <v>813120</v>
      </c>
      <c r="AJ57" s="33">
        <f>0</f>
        <v>0</v>
      </c>
      <c r="AK57" s="33">
        <f t="shared" si="38"/>
        <v>813120</v>
      </c>
      <c r="AL57" s="210">
        <f t="shared" si="27"/>
        <v>0</v>
      </c>
    </row>
    <row r="58" spans="2:38" s="23" customFormat="1" ht="62.4" customHeight="1">
      <c r="B58" s="93" t="s">
        <v>468</v>
      </c>
      <c r="C58" s="188" t="s">
        <v>490</v>
      </c>
      <c r="D58" s="194" t="s">
        <v>593</v>
      </c>
      <c r="E58" s="189" t="s">
        <v>429</v>
      </c>
      <c r="F58" s="17" t="s">
        <v>168</v>
      </c>
      <c r="G58" s="17" t="s">
        <v>634</v>
      </c>
      <c r="H58" s="181">
        <v>2023</v>
      </c>
      <c r="I58" s="181">
        <v>2025</v>
      </c>
      <c r="J58" s="33">
        <f>'[1]Summary for IPSIS'!$H$52+'[1]Summary for IPSIS'!$I$52</f>
        <v>0</v>
      </c>
      <c r="K58" s="33">
        <f>'[1]Summary for IPSIS'!$J$52</f>
        <v>0</v>
      </c>
      <c r="L58" s="33">
        <f t="shared" si="28"/>
        <v>0</v>
      </c>
      <c r="M58" s="33">
        <f>'[1]Summary for IPSIS'!$T$52+'[1]Summary for IPSIS'!$U$52</f>
        <v>0</v>
      </c>
      <c r="N58" s="33">
        <f>'[1]Summary for IPSIS'!$V$52</f>
        <v>0</v>
      </c>
      <c r="O58" s="33">
        <f t="shared" si="29"/>
        <v>0</v>
      </c>
      <c r="P58" s="33">
        <f>'[1]Summary for IPSIS'!$AF$52+'[1]Summary for IPSIS'!$AG$52</f>
        <v>840000</v>
      </c>
      <c r="Q58" s="33">
        <f>'[1]Summary for IPSIS'!$AH$52</f>
        <v>0</v>
      </c>
      <c r="R58" s="33">
        <f t="shared" si="30"/>
        <v>840000</v>
      </c>
      <c r="S58" s="33">
        <f>'[1]Summary for IPSIS'!$AR$52+'[1]Summary for IPSIS'!$AS$52</f>
        <v>840000</v>
      </c>
      <c r="T58" s="33">
        <f>'[1]Summary for IPSIS'!$AT$52</f>
        <v>0</v>
      </c>
      <c r="U58" s="33">
        <f t="shared" si="31"/>
        <v>840000</v>
      </c>
      <c r="V58" s="33">
        <f>'[1]Summary for IPSIS'!$BD$52+'[1]Summary for IPSIS'!$BE$52</f>
        <v>840000</v>
      </c>
      <c r="W58" s="33">
        <f>'[1]Summary for IPSIS'!$BF$52</f>
        <v>0</v>
      </c>
      <c r="X58" s="33">
        <f t="shared" si="32"/>
        <v>840000</v>
      </c>
      <c r="Y58" s="33">
        <f t="shared" si="33"/>
        <v>2520000</v>
      </c>
      <c r="Z58" s="33">
        <f t="shared" si="34"/>
        <v>0</v>
      </c>
      <c r="AA58" s="33">
        <f t="shared" si="35"/>
        <v>2520000</v>
      </c>
      <c r="AB58" s="33">
        <f>0</f>
        <v>0</v>
      </c>
      <c r="AC58" s="33">
        <f>0</f>
        <v>0</v>
      </c>
      <c r="AD58" s="33">
        <f t="shared" si="36"/>
        <v>0</v>
      </c>
      <c r="AE58" s="33">
        <f>0</f>
        <v>0</v>
      </c>
      <c r="AF58" s="33">
        <f>0</f>
        <v>0</v>
      </c>
      <c r="AG58" s="33"/>
      <c r="AH58" s="33">
        <f t="shared" si="37"/>
        <v>0</v>
      </c>
      <c r="AI58" s="33">
        <f>840000+840000</f>
        <v>1680000</v>
      </c>
      <c r="AJ58" s="33">
        <f>0</f>
        <v>0</v>
      </c>
      <c r="AK58" s="33">
        <f t="shared" si="38"/>
        <v>1680000</v>
      </c>
      <c r="AL58" s="210">
        <f t="shared" si="27"/>
        <v>-840000</v>
      </c>
    </row>
    <row r="59" spans="2:38" s="23" customFormat="1" ht="62.4" customHeight="1">
      <c r="B59" s="93" t="s">
        <v>469</v>
      </c>
      <c r="C59" s="188" t="s">
        <v>620</v>
      </c>
      <c r="D59" s="194" t="s">
        <v>594</v>
      </c>
      <c r="E59" s="189" t="s">
        <v>429</v>
      </c>
      <c r="F59" s="17" t="s">
        <v>168</v>
      </c>
      <c r="G59" s="17" t="s">
        <v>634</v>
      </c>
      <c r="H59" s="181">
        <v>2023</v>
      </c>
      <c r="I59" s="181">
        <v>2025</v>
      </c>
      <c r="J59" s="33">
        <f>'[1]Summary for IPSIS'!$H$53+'[1]Summary for IPSIS'!$I$53</f>
        <v>0</v>
      </c>
      <c r="K59" s="33">
        <f>'[1]Summary for IPSIS'!$J$53</f>
        <v>0</v>
      </c>
      <c r="L59" s="33">
        <f t="shared" si="28"/>
        <v>0</v>
      </c>
      <c r="M59" s="33">
        <f>'[1]Summary for IPSIS'!$T$53+'[1]Summary for IPSIS'!$U$53</f>
        <v>0</v>
      </c>
      <c r="N59" s="33">
        <f>'[1]Summary for IPSIS'!$V$53</f>
        <v>0</v>
      </c>
      <c r="O59" s="33">
        <f t="shared" si="29"/>
        <v>0</v>
      </c>
      <c r="P59" s="33">
        <f>'[1]Summary for IPSIS'!$AF$53+'[1]Summary for IPSIS'!$AG$53</f>
        <v>800400</v>
      </c>
      <c r="Q59" s="33">
        <f>'[1]Summary for IPSIS'!$AH$53</f>
        <v>0</v>
      </c>
      <c r="R59" s="33">
        <f t="shared" si="30"/>
        <v>800400</v>
      </c>
      <c r="S59" s="33">
        <f>'[1]Summary for IPSIS'!$AR$53+'[1]Summary for IPSIS'!$AS$53</f>
        <v>800400</v>
      </c>
      <c r="T59" s="33">
        <f>'[1]Summary for IPSIS'!$AT$53</f>
        <v>0</v>
      </c>
      <c r="U59" s="33">
        <f t="shared" si="31"/>
        <v>800400</v>
      </c>
      <c r="V59" s="33">
        <f>'[1]Summary for IPSIS'!$BD$53+'[1]Summary for IPSIS'!$BE$53</f>
        <v>800400</v>
      </c>
      <c r="W59" s="33">
        <f>'[1]Summary for IPSIS'!$BF$53</f>
        <v>0</v>
      </c>
      <c r="X59" s="33">
        <f t="shared" si="32"/>
        <v>800400</v>
      </c>
      <c r="Y59" s="33">
        <f t="shared" si="33"/>
        <v>2401200</v>
      </c>
      <c r="Z59" s="33">
        <f t="shared" si="34"/>
        <v>0</v>
      </c>
      <c r="AA59" s="33">
        <f t="shared" si="35"/>
        <v>2401200</v>
      </c>
      <c r="AB59" s="33">
        <f>0</f>
        <v>0</v>
      </c>
      <c r="AC59" s="33">
        <f>0</f>
        <v>0</v>
      </c>
      <c r="AD59" s="33">
        <f t="shared" si="36"/>
        <v>0</v>
      </c>
      <c r="AE59" s="33">
        <f>0</f>
        <v>0</v>
      </c>
      <c r="AF59" s="33">
        <f>0</f>
        <v>0</v>
      </c>
      <c r="AG59" s="33"/>
      <c r="AH59" s="33">
        <f t="shared" si="37"/>
        <v>0</v>
      </c>
      <c r="AI59" s="33">
        <f>0</f>
        <v>0</v>
      </c>
      <c r="AJ59" s="33">
        <f>0</f>
        <v>0</v>
      </c>
      <c r="AK59" s="33">
        <f t="shared" si="38"/>
        <v>0</v>
      </c>
      <c r="AL59" s="210">
        <f t="shared" si="27"/>
        <v>-2401200</v>
      </c>
    </row>
    <row r="60" spans="2:38" s="23" customFormat="1" ht="62.4" customHeight="1">
      <c r="B60" s="93" t="s">
        <v>470</v>
      </c>
      <c r="C60" s="188" t="s">
        <v>491</v>
      </c>
      <c r="D60" s="194" t="s">
        <v>595</v>
      </c>
      <c r="E60" s="189" t="s">
        <v>428</v>
      </c>
      <c r="F60" s="11" t="s">
        <v>168</v>
      </c>
      <c r="G60" s="11" t="s">
        <v>639</v>
      </c>
      <c r="H60" s="181">
        <v>2022</v>
      </c>
      <c r="I60" s="181">
        <v>2024</v>
      </c>
      <c r="J60" s="33">
        <f>'[1]Summary for IPSIS'!$H$54+'[1]Summary for IPSIS'!$I$54</f>
        <v>0</v>
      </c>
      <c r="K60" s="33">
        <f>'[1]Summary for IPSIS'!$J$54</f>
        <v>0</v>
      </c>
      <c r="L60" s="33">
        <f t="shared" si="28"/>
        <v>0</v>
      </c>
      <c r="M60" s="33">
        <f>'[1]Summary for IPSIS'!$T$54+'[1]Summary for IPSIS'!$U$54</f>
        <v>135520</v>
      </c>
      <c r="N60" s="33">
        <f>'[1]Summary for IPSIS'!$V$54</f>
        <v>0</v>
      </c>
      <c r="O60" s="33">
        <f t="shared" si="29"/>
        <v>135520</v>
      </c>
      <c r="P60" s="33">
        <f>'[1]Summary for IPSIS'!$AF$54+'[1]Summary for IPSIS'!$AG$54</f>
        <v>135520</v>
      </c>
      <c r="Q60" s="33">
        <f>'[1]Summary for IPSIS'!$AH$54</f>
        <v>0</v>
      </c>
      <c r="R60" s="33">
        <f t="shared" si="30"/>
        <v>135520</v>
      </c>
      <c r="S60" s="33">
        <f>'[1]Summary for IPSIS'!$AR$54+'[1]Summary for IPSIS'!$AS$54</f>
        <v>135520</v>
      </c>
      <c r="T60" s="33">
        <f>'[1]Summary for IPSIS'!$AT$54</f>
        <v>0</v>
      </c>
      <c r="U60" s="33">
        <f t="shared" si="31"/>
        <v>135520</v>
      </c>
      <c r="V60" s="33">
        <f>'[1]Summary for IPSIS'!$BD$54+'[1]Summary for IPSIS'!$BE$54</f>
        <v>0</v>
      </c>
      <c r="W60" s="33">
        <f>'[1]Summary for IPSIS'!$BF$54</f>
        <v>0</v>
      </c>
      <c r="X60" s="33">
        <f t="shared" si="32"/>
        <v>0</v>
      </c>
      <c r="Y60" s="33">
        <f t="shared" si="33"/>
        <v>406560</v>
      </c>
      <c r="Z60" s="33">
        <f t="shared" si="34"/>
        <v>0</v>
      </c>
      <c r="AA60" s="33">
        <f t="shared" si="35"/>
        <v>406560</v>
      </c>
      <c r="AB60" s="33">
        <f>0+135520+135520</f>
        <v>271040</v>
      </c>
      <c r="AC60" s="33">
        <f>0</f>
        <v>0</v>
      </c>
      <c r="AD60" s="33">
        <f t="shared" si="36"/>
        <v>271040</v>
      </c>
      <c r="AE60" s="33">
        <v>0</v>
      </c>
      <c r="AF60" s="33">
        <f>0</f>
        <v>0</v>
      </c>
      <c r="AG60" s="33"/>
      <c r="AH60" s="33">
        <f t="shared" si="37"/>
        <v>0</v>
      </c>
      <c r="AI60" s="33">
        <f>135520</f>
        <v>135520</v>
      </c>
      <c r="AJ60" s="33">
        <f>0</f>
        <v>0</v>
      </c>
      <c r="AK60" s="33">
        <f t="shared" si="38"/>
        <v>135520</v>
      </c>
      <c r="AL60" s="210">
        <f t="shared" si="27"/>
        <v>0</v>
      </c>
    </row>
    <row r="61" spans="2:38" s="23" customFormat="1" ht="62.4" customHeight="1">
      <c r="B61" s="93" t="s">
        <v>471</v>
      </c>
      <c r="C61" s="188" t="s">
        <v>492</v>
      </c>
      <c r="D61" s="194" t="s">
        <v>596</v>
      </c>
      <c r="E61" s="189" t="s">
        <v>629</v>
      </c>
      <c r="F61" s="17" t="s">
        <v>629</v>
      </c>
      <c r="G61" s="17" t="s">
        <v>640</v>
      </c>
      <c r="H61" s="181">
        <v>2022</v>
      </c>
      <c r="I61" s="181">
        <v>2024</v>
      </c>
      <c r="J61" s="33">
        <f>'[1]Summary for IPSIS'!$H$55+'[1]Summary for IPSIS'!$I$55</f>
        <v>0</v>
      </c>
      <c r="K61" s="33">
        <f>'[1]Summary for IPSIS'!$J$55</f>
        <v>0</v>
      </c>
      <c r="L61" s="33">
        <f t="shared" si="28"/>
        <v>0</v>
      </c>
      <c r="M61" s="33">
        <f>'[1]Summary for IPSIS'!$T$55+'[1]Summary for IPSIS'!$U$55</f>
        <v>542080</v>
      </c>
      <c r="N61" s="33">
        <f>'[1]Summary for IPSIS'!$V$55</f>
        <v>0</v>
      </c>
      <c r="O61" s="33">
        <f t="shared" si="29"/>
        <v>542080</v>
      </c>
      <c r="P61" s="33">
        <f>'[1]Summary for IPSIS'!$AF$55+'[1]Summary for IPSIS'!$AG$55</f>
        <v>542080</v>
      </c>
      <c r="Q61" s="33">
        <f>'[1]Summary for IPSIS'!$AH$55</f>
        <v>0</v>
      </c>
      <c r="R61" s="33">
        <f t="shared" si="30"/>
        <v>542080</v>
      </c>
      <c r="S61" s="33">
        <f>'[1]Summary for IPSIS'!$AR$55+'[1]Summary for IPSIS'!$AS$55</f>
        <v>542080</v>
      </c>
      <c r="T61" s="33">
        <f>'[1]Summary for IPSIS'!$AT$55</f>
        <v>0</v>
      </c>
      <c r="U61" s="33">
        <f t="shared" si="31"/>
        <v>542080</v>
      </c>
      <c r="V61" s="33">
        <f>'[1]Summary for IPSIS'!$BD$55+'[1]Summary for IPSIS'!$BE$55</f>
        <v>0</v>
      </c>
      <c r="W61" s="33">
        <f>'[1]Summary for IPSIS'!$BF$55</f>
        <v>0</v>
      </c>
      <c r="X61" s="33">
        <f t="shared" si="32"/>
        <v>0</v>
      </c>
      <c r="Y61" s="33">
        <f t="shared" si="33"/>
        <v>1626240</v>
      </c>
      <c r="Z61" s="33">
        <f t="shared" si="34"/>
        <v>0</v>
      </c>
      <c r="AA61" s="33">
        <f t="shared" si="35"/>
        <v>1626240</v>
      </c>
      <c r="AB61" s="33">
        <f>0</f>
        <v>0</v>
      </c>
      <c r="AC61" s="33">
        <f>0</f>
        <v>0</v>
      </c>
      <c r="AD61" s="33">
        <f t="shared" si="36"/>
        <v>0</v>
      </c>
      <c r="AE61" s="33">
        <f>1626240</f>
        <v>1626240</v>
      </c>
      <c r="AF61" s="33">
        <f>0</f>
        <v>0</v>
      </c>
      <c r="AG61" s="33"/>
      <c r="AH61" s="33">
        <f t="shared" si="37"/>
        <v>1626240</v>
      </c>
      <c r="AI61" s="33">
        <f>0</f>
        <v>0</v>
      </c>
      <c r="AJ61" s="33">
        <f>0</f>
        <v>0</v>
      </c>
      <c r="AK61" s="33">
        <f t="shared" si="38"/>
        <v>0</v>
      </c>
      <c r="AL61" s="210">
        <f t="shared" si="27"/>
        <v>0</v>
      </c>
    </row>
    <row r="62" spans="2:38" s="23" customFormat="1" ht="62.4" customHeight="1">
      <c r="B62" s="93" t="s">
        <v>472</v>
      </c>
      <c r="C62" s="188" t="s">
        <v>493</v>
      </c>
      <c r="D62" s="194" t="s">
        <v>597</v>
      </c>
      <c r="E62" s="189" t="s">
        <v>629</v>
      </c>
      <c r="F62" s="17" t="s">
        <v>629</v>
      </c>
      <c r="G62" s="17" t="s">
        <v>641</v>
      </c>
      <c r="H62" s="181">
        <v>2022</v>
      </c>
      <c r="I62" s="181">
        <v>2025</v>
      </c>
      <c r="J62" s="33">
        <f>'[1]Summary for IPSIS'!$H$56+'[1]Summary for IPSIS'!$I$56</f>
        <v>0</v>
      </c>
      <c r="K62" s="33">
        <f>'[1]Summary for IPSIS'!$J$56</f>
        <v>0</v>
      </c>
      <c r="L62" s="33">
        <f t="shared" si="28"/>
        <v>0</v>
      </c>
      <c r="M62" s="33">
        <f>'[1]Summary for IPSIS'!$T$56+'[1]Summary for IPSIS'!$U$56</f>
        <v>360000</v>
      </c>
      <c r="N62" s="33">
        <f>'[1]Summary for IPSIS'!$V$56</f>
        <v>0</v>
      </c>
      <c r="O62" s="33">
        <f t="shared" si="29"/>
        <v>360000</v>
      </c>
      <c r="P62" s="33">
        <f>'[1]Summary for IPSIS'!$AF$56+'[1]Summary for IPSIS'!$AG$56</f>
        <v>360000</v>
      </c>
      <c r="Q62" s="33">
        <f>'[1]Summary for IPSIS'!$AH$56</f>
        <v>0</v>
      </c>
      <c r="R62" s="33">
        <f t="shared" si="30"/>
        <v>360000</v>
      </c>
      <c r="S62" s="33">
        <f>'[1]Summary for IPSIS'!$AR$56+'[1]Summary for IPSIS'!$AS$56</f>
        <v>360000</v>
      </c>
      <c r="T62" s="33">
        <f>'[1]Summary for IPSIS'!$AT$56</f>
        <v>0</v>
      </c>
      <c r="U62" s="33">
        <f t="shared" si="31"/>
        <v>360000</v>
      </c>
      <c r="V62" s="33">
        <f>'[1]Summary for IPSIS'!$BD$56+'[1]Summary for IPSIS'!$BE$56</f>
        <v>420000</v>
      </c>
      <c r="W62" s="33">
        <f>'[1]Summary for IPSIS'!$BF$56</f>
        <v>0</v>
      </c>
      <c r="X62" s="33">
        <f t="shared" si="32"/>
        <v>420000</v>
      </c>
      <c r="Y62" s="33">
        <f t="shared" si="33"/>
        <v>1500000</v>
      </c>
      <c r="Z62" s="33">
        <f t="shared" si="34"/>
        <v>0</v>
      </c>
      <c r="AA62" s="33">
        <f t="shared" si="35"/>
        <v>1500000</v>
      </c>
      <c r="AB62" s="33">
        <f>0</f>
        <v>0</v>
      </c>
      <c r="AC62" s="33">
        <f>0</f>
        <v>0</v>
      </c>
      <c r="AD62" s="33">
        <f t="shared" si="36"/>
        <v>0</v>
      </c>
      <c r="AE62" s="33">
        <f>1500000</f>
        <v>1500000</v>
      </c>
      <c r="AF62" s="33">
        <f>0</f>
        <v>0</v>
      </c>
      <c r="AG62" s="33"/>
      <c r="AH62" s="33">
        <f t="shared" si="37"/>
        <v>1500000</v>
      </c>
      <c r="AI62" s="33">
        <f>0</f>
        <v>0</v>
      </c>
      <c r="AJ62" s="33">
        <f>0</f>
        <v>0</v>
      </c>
      <c r="AK62" s="33">
        <f t="shared" si="38"/>
        <v>0</v>
      </c>
      <c r="AL62" s="210">
        <f t="shared" si="27"/>
        <v>0</v>
      </c>
    </row>
    <row r="63" spans="2:38" s="23" customFormat="1" ht="48" customHeight="1">
      <c r="B63" s="93" t="s">
        <v>473</v>
      </c>
      <c r="C63" s="188" t="s">
        <v>621</v>
      </c>
      <c r="D63" s="194" t="s">
        <v>598</v>
      </c>
      <c r="E63" s="189" t="s">
        <v>629</v>
      </c>
      <c r="F63" s="17" t="s">
        <v>629</v>
      </c>
      <c r="G63" s="17" t="s">
        <v>642</v>
      </c>
      <c r="H63" s="181">
        <v>2022</v>
      </c>
      <c r="I63" s="181">
        <v>2025</v>
      </c>
      <c r="J63" s="33">
        <f>'[1]Summary for IPSIS'!$H$57+'[1]Summary for IPSIS'!$I$57</f>
        <v>0</v>
      </c>
      <c r="K63" s="33">
        <f>'[1]Summary for IPSIS'!$J$57</f>
        <v>0</v>
      </c>
      <c r="L63" s="33">
        <f t="shared" si="28"/>
        <v>0</v>
      </c>
      <c r="M63" s="33">
        <f>'[1]Summary for IPSIS'!$T$57+'[1]Summary for IPSIS'!$U$57</f>
        <v>120000</v>
      </c>
      <c r="N63" s="33">
        <f>'[1]Summary for IPSIS'!$V$57</f>
        <v>0</v>
      </c>
      <c r="O63" s="33">
        <f t="shared" si="29"/>
        <v>120000</v>
      </c>
      <c r="P63" s="33">
        <f>'[1]Summary for IPSIS'!$AF$57+'[1]Summary for IPSIS'!$AG$57</f>
        <v>120000</v>
      </c>
      <c r="Q63" s="33">
        <f>'[1]Summary for IPSIS'!$AH$57</f>
        <v>0</v>
      </c>
      <c r="R63" s="33">
        <f t="shared" si="30"/>
        <v>120000</v>
      </c>
      <c r="S63" s="33">
        <f>'[1]Summary for IPSIS'!$AR$57+'[1]Summary for IPSIS'!$AS$57</f>
        <v>120000</v>
      </c>
      <c r="T63" s="33">
        <f>'[1]Summary for IPSIS'!$AT$57</f>
        <v>0</v>
      </c>
      <c r="U63" s="33">
        <f t="shared" si="31"/>
        <v>120000</v>
      </c>
      <c r="V63" s="33">
        <f>'[1]Summary for IPSIS'!$BD$57+'[1]Summary for IPSIS'!$BE$57</f>
        <v>144000</v>
      </c>
      <c r="W63" s="33">
        <f>'[1]Summary for IPSIS'!$BF$57</f>
        <v>0</v>
      </c>
      <c r="X63" s="33">
        <f t="shared" si="32"/>
        <v>144000</v>
      </c>
      <c r="Y63" s="33">
        <f t="shared" si="33"/>
        <v>504000</v>
      </c>
      <c r="Z63" s="33">
        <f t="shared" si="34"/>
        <v>0</v>
      </c>
      <c r="AA63" s="33">
        <f t="shared" si="35"/>
        <v>504000</v>
      </c>
      <c r="AB63" s="33">
        <f>0</f>
        <v>0</v>
      </c>
      <c r="AC63" s="33">
        <f>0</f>
        <v>0</v>
      </c>
      <c r="AD63" s="33">
        <f t="shared" si="36"/>
        <v>0</v>
      </c>
      <c r="AE63" s="33">
        <f>504000</f>
        <v>504000</v>
      </c>
      <c r="AF63" s="33">
        <f>0</f>
        <v>0</v>
      </c>
      <c r="AG63" s="33"/>
      <c r="AH63" s="33">
        <f t="shared" si="37"/>
        <v>504000</v>
      </c>
      <c r="AI63" s="33">
        <f>0</f>
        <v>0</v>
      </c>
      <c r="AJ63" s="33">
        <f>0</f>
        <v>0</v>
      </c>
      <c r="AK63" s="33">
        <f t="shared" si="38"/>
        <v>0</v>
      </c>
      <c r="AL63" s="210">
        <f t="shared" si="27"/>
        <v>0</v>
      </c>
    </row>
    <row r="64" spans="2:38" s="23" customFormat="1" ht="34.799999999999997" customHeight="1">
      <c r="B64" s="93" t="s">
        <v>474</v>
      </c>
      <c r="C64" s="188" t="s">
        <v>494</v>
      </c>
      <c r="D64" s="194" t="s">
        <v>599</v>
      </c>
      <c r="E64" s="189" t="s">
        <v>629</v>
      </c>
      <c r="F64" s="17" t="s">
        <v>629</v>
      </c>
      <c r="G64" s="17" t="s">
        <v>643</v>
      </c>
      <c r="H64" s="181">
        <v>2022</v>
      </c>
      <c r="I64" s="181">
        <v>2025</v>
      </c>
      <c r="J64" s="33">
        <f>'[1]Summary for IPSIS'!$H$58+'[1]Summary for IPSIS'!$I$58</f>
        <v>0</v>
      </c>
      <c r="K64" s="33">
        <f>'[1]Summary for IPSIS'!$J$58</f>
        <v>0</v>
      </c>
      <c r="L64" s="33">
        <f t="shared" si="28"/>
        <v>0</v>
      </c>
      <c r="M64" s="33">
        <f>'[1]Summary for IPSIS'!$T$58+'[1]Summary for IPSIS'!$U$58</f>
        <v>240000</v>
      </c>
      <c r="N64" s="33">
        <f>'[1]Summary for IPSIS'!$V$58</f>
        <v>0</v>
      </c>
      <c r="O64" s="33">
        <f t="shared" si="29"/>
        <v>240000</v>
      </c>
      <c r="P64" s="33">
        <f>'[1]Summary for IPSIS'!$AF$58+'[1]Summary for IPSIS'!$AG$58</f>
        <v>240000</v>
      </c>
      <c r="Q64" s="33">
        <f>'[1]Summary for IPSIS'!$AH$58</f>
        <v>0</v>
      </c>
      <c r="R64" s="33">
        <f t="shared" si="30"/>
        <v>240000</v>
      </c>
      <c r="S64" s="33">
        <f>'[1]Summary for IPSIS'!$AR$58+'[1]Summary for IPSIS'!$AS$58</f>
        <v>240000</v>
      </c>
      <c r="T64" s="33">
        <f>'[1]Summary for IPSIS'!$AT$58</f>
        <v>0</v>
      </c>
      <c r="U64" s="33">
        <f t="shared" si="31"/>
        <v>240000</v>
      </c>
      <c r="V64" s="33">
        <f>'[1]Summary for IPSIS'!$BD$58+'[1]Summary for IPSIS'!$BE$58</f>
        <v>240000</v>
      </c>
      <c r="W64" s="33">
        <f>'[1]Summary for IPSIS'!$BF$58</f>
        <v>0</v>
      </c>
      <c r="X64" s="33">
        <f t="shared" si="32"/>
        <v>240000</v>
      </c>
      <c r="Y64" s="33">
        <f t="shared" si="33"/>
        <v>960000</v>
      </c>
      <c r="Z64" s="33">
        <f t="shared" si="34"/>
        <v>0</v>
      </c>
      <c r="AA64" s="33">
        <f t="shared" si="35"/>
        <v>960000</v>
      </c>
      <c r="AB64" s="33">
        <f>0</f>
        <v>0</v>
      </c>
      <c r="AC64" s="33">
        <f>0</f>
        <v>0</v>
      </c>
      <c r="AD64" s="33">
        <f t="shared" si="36"/>
        <v>0</v>
      </c>
      <c r="AE64" s="33">
        <f>960000</f>
        <v>960000</v>
      </c>
      <c r="AF64" s="33">
        <f>0</f>
        <v>0</v>
      </c>
      <c r="AG64" s="33"/>
      <c r="AH64" s="33">
        <f t="shared" si="37"/>
        <v>960000</v>
      </c>
      <c r="AI64" s="33">
        <f>0</f>
        <v>0</v>
      </c>
      <c r="AJ64" s="33">
        <f>0</f>
        <v>0</v>
      </c>
      <c r="AK64" s="33">
        <f t="shared" si="38"/>
        <v>0</v>
      </c>
      <c r="AL64" s="210">
        <f t="shared" si="27"/>
        <v>0</v>
      </c>
    </row>
    <row r="65" spans="1:38" s="23" customFormat="1" ht="51.6" customHeight="1">
      <c r="B65" s="93" t="s">
        <v>475</v>
      </c>
      <c r="C65" s="188" t="s">
        <v>622</v>
      </c>
      <c r="D65" s="194" t="s">
        <v>600</v>
      </c>
      <c r="E65" s="189" t="s">
        <v>629</v>
      </c>
      <c r="F65" s="17" t="s">
        <v>629</v>
      </c>
      <c r="G65" s="17" t="s">
        <v>644</v>
      </c>
      <c r="H65" s="181">
        <v>2022</v>
      </c>
      <c r="I65" s="181">
        <v>2025</v>
      </c>
      <c r="J65" s="33">
        <f>'[1]Summary for IPSIS'!$H$59+'[1]Summary for IPSIS'!$I$59</f>
        <v>0</v>
      </c>
      <c r="K65" s="33">
        <f>'[1]Summary for IPSIS'!$J$59</f>
        <v>0</v>
      </c>
      <c r="L65" s="33">
        <f t="shared" si="28"/>
        <v>0</v>
      </c>
      <c r="M65" s="33">
        <f>'[1]Summary for IPSIS'!$T$59+'[1]Summary for IPSIS'!$U$59</f>
        <v>144600</v>
      </c>
      <c r="N65" s="33">
        <f>'[1]Summary for IPSIS'!$V$59</f>
        <v>0</v>
      </c>
      <c r="O65" s="33">
        <f t="shared" si="29"/>
        <v>144600</v>
      </c>
      <c r="P65" s="33">
        <f>'[1]Summary for IPSIS'!$AF$59+'[1]Summary for IPSIS'!$AG$59</f>
        <v>144600</v>
      </c>
      <c r="Q65" s="33">
        <f>'[1]Summary for IPSIS'!$AH$59</f>
        <v>0</v>
      </c>
      <c r="R65" s="33">
        <f t="shared" si="30"/>
        <v>144600</v>
      </c>
      <c r="S65" s="33">
        <f>'[1]Summary for IPSIS'!$AR$59+'[1]Summary for IPSIS'!$AS$59</f>
        <v>144600</v>
      </c>
      <c r="T65" s="33">
        <f>'[1]Summary for IPSIS'!$AT$59</f>
        <v>0</v>
      </c>
      <c r="U65" s="33">
        <f t="shared" si="31"/>
        <v>144600</v>
      </c>
      <c r="V65" s="33">
        <f>'[1]Summary for IPSIS'!$BD$59+'[1]Summary for IPSIS'!$BE$59</f>
        <v>144600</v>
      </c>
      <c r="W65" s="33">
        <f>'[1]Summary for IPSIS'!$BF$59</f>
        <v>0</v>
      </c>
      <c r="X65" s="33">
        <f t="shared" si="32"/>
        <v>144600</v>
      </c>
      <c r="Y65" s="33">
        <f t="shared" si="33"/>
        <v>578400</v>
      </c>
      <c r="Z65" s="33">
        <f t="shared" si="34"/>
        <v>0</v>
      </c>
      <c r="AA65" s="33">
        <f t="shared" si="35"/>
        <v>578400</v>
      </c>
      <c r="AB65" s="33">
        <f>0</f>
        <v>0</v>
      </c>
      <c r="AC65" s="33">
        <f>0</f>
        <v>0</v>
      </c>
      <c r="AD65" s="33">
        <f t="shared" si="36"/>
        <v>0</v>
      </c>
      <c r="AE65" s="33">
        <f>578400</f>
        <v>578400</v>
      </c>
      <c r="AF65" s="33">
        <f>0</f>
        <v>0</v>
      </c>
      <c r="AG65" s="33"/>
      <c r="AH65" s="33">
        <f t="shared" si="37"/>
        <v>578400</v>
      </c>
      <c r="AI65" s="33">
        <f>0</f>
        <v>0</v>
      </c>
      <c r="AJ65" s="33">
        <f>0</f>
        <v>0</v>
      </c>
      <c r="AK65" s="33">
        <f t="shared" si="38"/>
        <v>0</v>
      </c>
      <c r="AL65" s="210">
        <f t="shared" si="27"/>
        <v>0</v>
      </c>
    </row>
    <row r="66" spans="1:38" s="23" customFormat="1" ht="50.4" customHeight="1">
      <c r="B66" s="93" t="s">
        <v>476</v>
      </c>
      <c r="C66" s="188" t="s">
        <v>495</v>
      </c>
      <c r="D66" s="194" t="s">
        <v>601</v>
      </c>
      <c r="E66" s="189" t="s">
        <v>777</v>
      </c>
      <c r="F66" s="17" t="s">
        <v>195</v>
      </c>
      <c r="G66" s="17" t="s">
        <v>645</v>
      </c>
      <c r="H66" s="181">
        <v>2023</v>
      </c>
      <c r="I66" s="181">
        <v>2025</v>
      </c>
      <c r="J66" s="33">
        <f>'[1]Summary for IPSIS'!$H$60+'[1]Summary for IPSIS'!$I$60</f>
        <v>0</v>
      </c>
      <c r="K66" s="33">
        <f>'[1]Summary for IPSIS'!$J$60</f>
        <v>0</v>
      </c>
      <c r="L66" s="33">
        <f t="shared" si="28"/>
        <v>0</v>
      </c>
      <c r="M66" s="33">
        <f>'[1]Summary for IPSIS'!$T$60+'[1]Summary for IPSIS'!$U$60</f>
        <v>0</v>
      </c>
      <c r="N66" s="33">
        <f>'[1]Summary for IPSIS'!$V$60</f>
        <v>0</v>
      </c>
      <c r="O66" s="33">
        <f t="shared" si="29"/>
        <v>0</v>
      </c>
      <c r="P66" s="33">
        <f>'[1]Summary for IPSIS'!$AF$60+'[1]Summary for IPSIS'!$AG$60</f>
        <v>701376</v>
      </c>
      <c r="Q66" s="33">
        <f>'[1]Summary for IPSIS'!$AH$60</f>
        <v>0</v>
      </c>
      <c r="R66" s="33">
        <f t="shared" si="30"/>
        <v>701376</v>
      </c>
      <c r="S66" s="33">
        <f>'[1]Summary for IPSIS'!$AR$60+'[1]Summary for IPSIS'!$AS$60</f>
        <v>0</v>
      </c>
      <c r="T66" s="33">
        <f>'[1]Summary for IPSIS'!$AT$60</f>
        <v>1150000</v>
      </c>
      <c r="U66" s="33">
        <f t="shared" si="31"/>
        <v>1150000</v>
      </c>
      <c r="V66" s="33">
        <f>'[1]Summary for IPSIS'!$BD$60+'[1]Summary for IPSIS'!$BE$60</f>
        <v>0</v>
      </c>
      <c r="W66" s="33">
        <f>'[1]Summary for IPSIS'!$BF$60</f>
        <v>1150000</v>
      </c>
      <c r="X66" s="33">
        <f t="shared" si="32"/>
        <v>1150000</v>
      </c>
      <c r="Y66" s="33">
        <f t="shared" si="33"/>
        <v>701376</v>
      </c>
      <c r="Z66" s="33">
        <f t="shared" si="34"/>
        <v>2300000</v>
      </c>
      <c r="AA66" s="33">
        <f t="shared" si="35"/>
        <v>3001376</v>
      </c>
      <c r="AB66" s="33">
        <f>0+0+701376</f>
        <v>701376</v>
      </c>
      <c r="AC66" s="33">
        <f>0</f>
        <v>0</v>
      </c>
      <c r="AD66" s="33">
        <f t="shared" si="36"/>
        <v>701376</v>
      </c>
      <c r="AE66" s="33">
        <f>0</f>
        <v>0</v>
      </c>
      <c r="AF66" s="33">
        <f>0</f>
        <v>0</v>
      </c>
      <c r="AG66" s="33"/>
      <c r="AH66" s="33">
        <f t="shared" si="37"/>
        <v>0</v>
      </c>
      <c r="AI66" s="33">
        <f>0</f>
        <v>0</v>
      </c>
      <c r="AJ66" s="33">
        <f>1150000+1150000</f>
        <v>2300000</v>
      </c>
      <c r="AK66" s="33">
        <f t="shared" si="38"/>
        <v>2300000</v>
      </c>
      <c r="AL66" s="210">
        <f t="shared" si="27"/>
        <v>0</v>
      </c>
    </row>
    <row r="67" spans="1:38" s="23" customFormat="1" ht="62.4" customHeight="1">
      <c r="B67" s="93" t="s">
        <v>477</v>
      </c>
      <c r="C67" s="188" t="s">
        <v>623</v>
      </c>
      <c r="D67" s="194" t="s">
        <v>602</v>
      </c>
      <c r="E67" s="189" t="s">
        <v>630</v>
      </c>
      <c r="F67" s="11" t="s">
        <v>630</v>
      </c>
      <c r="G67" s="11"/>
      <c r="H67" s="181">
        <v>2021</v>
      </c>
      <c r="I67" s="181">
        <v>2023</v>
      </c>
      <c r="J67" s="33">
        <f>'[1]Summary for IPSIS'!$H$61+'[1]Summary for IPSIS'!$I$61</f>
        <v>112896</v>
      </c>
      <c r="K67" s="33">
        <f>'[1]Summary for IPSIS'!$J$61</f>
        <v>0</v>
      </c>
      <c r="L67" s="33">
        <f t="shared" si="28"/>
        <v>112896</v>
      </c>
      <c r="M67" s="33">
        <f>'[1]Summary for IPSIS'!$T$61+'[1]Summary for IPSIS'!$U$61</f>
        <v>112896</v>
      </c>
      <c r="N67" s="33">
        <f>'[1]Summary for IPSIS'!$V$61</f>
        <v>0</v>
      </c>
      <c r="O67" s="33">
        <f t="shared" si="29"/>
        <v>112896</v>
      </c>
      <c r="P67" s="33">
        <f>'[1]Summary for IPSIS'!$AF$61+'[1]Summary for IPSIS'!$AG$61</f>
        <v>225792</v>
      </c>
      <c r="Q67" s="33">
        <f>'[1]Summary for IPSIS'!$AH$61</f>
        <v>0</v>
      </c>
      <c r="R67" s="33">
        <f t="shared" si="30"/>
        <v>225792</v>
      </c>
      <c r="S67" s="33">
        <f>'[1]Summary for IPSIS'!$AR$61+'[1]Summary for IPSIS'!$AS$61</f>
        <v>0</v>
      </c>
      <c r="T67" s="33">
        <f>'[1]Summary for IPSIS'!$AT$61</f>
        <v>0</v>
      </c>
      <c r="U67" s="33">
        <f t="shared" si="31"/>
        <v>0</v>
      </c>
      <c r="V67" s="33">
        <f>'[1]Summary for IPSIS'!$BD$61+'[1]Summary for IPSIS'!$BE$61</f>
        <v>0</v>
      </c>
      <c r="W67" s="33">
        <f>'[1]Summary for IPSIS'!$BF$61</f>
        <v>0</v>
      </c>
      <c r="X67" s="33">
        <f t="shared" si="32"/>
        <v>0</v>
      </c>
      <c r="Y67" s="33">
        <f t="shared" si="33"/>
        <v>451584</v>
      </c>
      <c r="Z67" s="33">
        <f t="shared" si="34"/>
        <v>0</v>
      </c>
      <c r="AA67" s="33">
        <f t="shared" si="35"/>
        <v>451584</v>
      </c>
      <c r="AB67" s="33">
        <f>0</f>
        <v>0</v>
      </c>
      <c r="AC67" s="33">
        <f>0</f>
        <v>0</v>
      </c>
      <c r="AD67" s="33">
        <f t="shared" si="36"/>
        <v>0</v>
      </c>
      <c r="AE67" s="33">
        <f>451584</f>
        <v>451584</v>
      </c>
      <c r="AF67" s="33">
        <f>0</f>
        <v>0</v>
      </c>
      <c r="AG67" s="33"/>
      <c r="AH67" s="33">
        <f t="shared" si="37"/>
        <v>451584</v>
      </c>
      <c r="AI67" s="33">
        <f>0</f>
        <v>0</v>
      </c>
      <c r="AJ67" s="33">
        <f>0</f>
        <v>0</v>
      </c>
      <c r="AK67" s="33">
        <f t="shared" si="38"/>
        <v>0</v>
      </c>
      <c r="AL67" s="210">
        <f t="shared" si="27"/>
        <v>0</v>
      </c>
    </row>
    <row r="68" spans="1:38" s="23" customFormat="1" ht="62.4" customHeight="1">
      <c r="B68" s="93" t="s">
        <v>478</v>
      </c>
      <c r="C68" s="188" t="s">
        <v>624</v>
      </c>
      <c r="D68" s="194" t="s">
        <v>603</v>
      </c>
      <c r="E68" s="189" t="s">
        <v>630</v>
      </c>
      <c r="F68" s="11" t="s">
        <v>630</v>
      </c>
      <c r="G68" s="11"/>
      <c r="H68" s="181">
        <v>2022</v>
      </c>
      <c r="I68" s="181">
        <v>2024</v>
      </c>
      <c r="J68" s="33">
        <f>'[1]Summary for IPSIS'!$H$62+'[1]Summary for IPSIS'!$I$62</f>
        <v>0</v>
      </c>
      <c r="K68" s="33">
        <f>'[1]Summary for IPSIS'!$J$62</f>
        <v>0</v>
      </c>
      <c r="L68" s="33">
        <f t="shared" si="28"/>
        <v>0</v>
      </c>
      <c r="M68" s="33">
        <f>'[1]Summary for IPSIS'!$T$62+'[1]Summary for IPSIS'!$U$62</f>
        <v>271040</v>
      </c>
      <c r="N68" s="33">
        <f>'[1]Summary for IPSIS'!$V$62</f>
        <v>0</v>
      </c>
      <c r="O68" s="33">
        <f t="shared" si="29"/>
        <v>271040</v>
      </c>
      <c r="P68" s="33">
        <f>'[1]Summary for IPSIS'!$AF$62+'[1]Summary for IPSIS'!$AG$62</f>
        <v>271040</v>
      </c>
      <c r="Q68" s="33">
        <f>'[1]Summary for IPSIS'!$AH$62</f>
        <v>0</v>
      </c>
      <c r="R68" s="33">
        <f t="shared" si="30"/>
        <v>271040</v>
      </c>
      <c r="S68" s="33">
        <f>'[1]Summary for IPSIS'!$AR$62+'[1]Summary for IPSIS'!$AS$62</f>
        <v>451584</v>
      </c>
      <c r="T68" s="33">
        <f>'[1]Summary for IPSIS'!$AT$62</f>
        <v>0</v>
      </c>
      <c r="U68" s="33">
        <f t="shared" si="31"/>
        <v>451584</v>
      </c>
      <c r="V68" s="33">
        <f>'[1]Summary for IPSIS'!$BD$62+'[1]Summary for IPSIS'!$BE$62</f>
        <v>0</v>
      </c>
      <c r="W68" s="33">
        <f>'[1]Summary for IPSIS'!$BF$62</f>
        <v>0</v>
      </c>
      <c r="X68" s="33">
        <f t="shared" si="32"/>
        <v>0</v>
      </c>
      <c r="Y68" s="33">
        <f t="shared" si="33"/>
        <v>993664</v>
      </c>
      <c r="Z68" s="33">
        <f t="shared" si="34"/>
        <v>0</v>
      </c>
      <c r="AA68" s="33">
        <f t="shared" si="35"/>
        <v>993664</v>
      </c>
      <c r="AB68" s="33">
        <f>0</f>
        <v>0</v>
      </c>
      <c r="AC68" s="33">
        <f>0</f>
        <v>0</v>
      </c>
      <c r="AD68" s="33">
        <f t="shared" si="36"/>
        <v>0</v>
      </c>
      <c r="AE68" s="33">
        <f>993664</f>
        <v>993664</v>
      </c>
      <c r="AF68" s="33">
        <f>0</f>
        <v>0</v>
      </c>
      <c r="AG68" s="33"/>
      <c r="AH68" s="33">
        <f t="shared" si="37"/>
        <v>993664</v>
      </c>
      <c r="AI68" s="33">
        <f>0</f>
        <v>0</v>
      </c>
      <c r="AJ68" s="33">
        <f>0</f>
        <v>0</v>
      </c>
      <c r="AK68" s="33">
        <f t="shared" si="38"/>
        <v>0</v>
      </c>
      <c r="AL68" s="210">
        <f t="shared" si="27"/>
        <v>0</v>
      </c>
    </row>
    <row r="69" spans="1:38" s="23" customFormat="1" ht="44.4" customHeight="1">
      <c r="B69" s="93" t="s">
        <v>479</v>
      </c>
      <c r="C69" s="188" t="s">
        <v>625</v>
      </c>
      <c r="D69" s="194" t="s">
        <v>604</v>
      </c>
      <c r="E69" s="189" t="s">
        <v>630</v>
      </c>
      <c r="F69" s="17" t="s">
        <v>630</v>
      </c>
      <c r="G69" s="17" t="s">
        <v>646</v>
      </c>
      <c r="H69" s="181">
        <v>2021</v>
      </c>
      <c r="I69" s="181">
        <v>2025</v>
      </c>
      <c r="J69" s="33">
        <f>'[1]Summary for IPSIS'!$H$63+'[1]Summary for IPSIS'!$I$63</f>
        <v>361760</v>
      </c>
      <c r="K69" s="33">
        <f>'[1]Summary for IPSIS'!$J$63</f>
        <v>0</v>
      </c>
      <c r="L69" s="33">
        <f t="shared" si="28"/>
        <v>361760</v>
      </c>
      <c r="M69" s="33">
        <f>'[1]Summary for IPSIS'!$T$63+'[1]Summary for IPSIS'!$U$63</f>
        <v>361760</v>
      </c>
      <c r="N69" s="33">
        <f>'[1]Summary for IPSIS'!$V$63</f>
        <v>0</v>
      </c>
      <c r="O69" s="33">
        <f t="shared" si="29"/>
        <v>361760</v>
      </c>
      <c r="P69" s="33">
        <f>'[1]Summary for IPSIS'!$AF$63+'[1]Summary for IPSIS'!$AG$63</f>
        <v>451584</v>
      </c>
      <c r="Q69" s="33">
        <f>'[1]Summary for IPSIS'!$AH$63</f>
        <v>0</v>
      </c>
      <c r="R69" s="33">
        <f t="shared" si="30"/>
        <v>451584</v>
      </c>
      <c r="S69" s="33">
        <f>'[1]Summary for IPSIS'!$AR$63+'[1]Summary for IPSIS'!$AS$63</f>
        <v>451584</v>
      </c>
      <c r="T69" s="33">
        <f>'[1]Summary for IPSIS'!$AT$63</f>
        <v>0</v>
      </c>
      <c r="U69" s="33">
        <f t="shared" si="31"/>
        <v>451584</v>
      </c>
      <c r="V69" s="33">
        <f>'[1]Summary for IPSIS'!$BD$63+'[1]Summary for IPSIS'!$BE$63</f>
        <v>451584</v>
      </c>
      <c r="W69" s="33">
        <f>'[1]Summary for IPSIS'!$BF$63</f>
        <v>0</v>
      </c>
      <c r="X69" s="33">
        <f t="shared" si="32"/>
        <v>451584</v>
      </c>
      <c r="Y69" s="33">
        <f t="shared" si="33"/>
        <v>2078272</v>
      </c>
      <c r="Z69" s="33">
        <f t="shared" si="34"/>
        <v>0</v>
      </c>
      <c r="AA69" s="33">
        <f t="shared" si="35"/>
        <v>2078272</v>
      </c>
      <c r="AB69" s="33">
        <f>0</f>
        <v>0</v>
      </c>
      <c r="AC69" s="33">
        <f>0</f>
        <v>0</v>
      </c>
      <c r="AD69" s="33">
        <f t="shared" si="36"/>
        <v>0</v>
      </c>
      <c r="AE69" s="33">
        <f>2078272</f>
        <v>2078272</v>
      </c>
      <c r="AF69" s="33">
        <f>0</f>
        <v>0</v>
      </c>
      <c r="AG69" s="33"/>
      <c r="AH69" s="33">
        <f t="shared" si="37"/>
        <v>2078272</v>
      </c>
      <c r="AI69" s="33">
        <f>0</f>
        <v>0</v>
      </c>
      <c r="AJ69" s="33">
        <f>0</f>
        <v>0</v>
      </c>
      <c r="AK69" s="33">
        <f t="shared" si="38"/>
        <v>0</v>
      </c>
      <c r="AL69" s="210">
        <f t="shared" si="27"/>
        <v>0</v>
      </c>
    </row>
    <row r="70" spans="1:38" s="23" customFormat="1" ht="34.799999999999997" customHeight="1">
      <c r="B70" s="93" t="s">
        <v>480</v>
      </c>
      <c r="C70" s="188" t="s">
        <v>626</v>
      </c>
      <c r="D70" s="194" t="s">
        <v>605</v>
      </c>
      <c r="E70" s="189" t="s">
        <v>630</v>
      </c>
      <c r="F70" s="17" t="s">
        <v>630</v>
      </c>
      <c r="G70" s="17" t="s">
        <v>646</v>
      </c>
      <c r="H70" s="181">
        <v>2021</v>
      </c>
      <c r="I70" s="181">
        <v>2025</v>
      </c>
      <c r="J70" s="33">
        <f>'[1]Summary for IPSIS'!$H$64+'[1]Summary for IPSIS'!$I$64</f>
        <v>361760</v>
      </c>
      <c r="K70" s="33">
        <f>'[1]Summary for IPSIS'!$J$64</f>
        <v>0</v>
      </c>
      <c r="L70" s="33">
        <f t="shared" si="28"/>
        <v>361760</v>
      </c>
      <c r="M70" s="33">
        <f>'[1]Summary for IPSIS'!$T$64+'[1]Summary for IPSIS'!$U$64</f>
        <v>361760</v>
      </c>
      <c r="N70" s="33">
        <f>'[1]Summary for IPSIS'!$V$64</f>
        <v>0</v>
      </c>
      <c r="O70" s="33">
        <f t="shared" si="29"/>
        <v>361760</v>
      </c>
      <c r="P70" s="33">
        <f>'[1]Summary for IPSIS'!$AF$64+'[1]Summary for IPSIS'!$AG$64</f>
        <v>451584</v>
      </c>
      <c r="Q70" s="33">
        <f>'[1]Summary for IPSIS'!$AH$64</f>
        <v>0</v>
      </c>
      <c r="R70" s="33">
        <f t="shared" si="30"/>
        <v>451584</v>
      </c>
      <c r="S70" s="33">
        <f>'[1]Summary for IPSIS'!$AR$64+'[1]Summary for IPSIS'!$AS$64</f>
        <v>451584</v>
      </c>
      <c r="T70" s="33">
        <f>'[1]Summary for IPSIS'!$AT$64</f>
        <v>0</v>
      </c>
      <c r="U70" s="33">
        <f t="shared" si="31"/>
        <v>451584</v>
      </c>
      <c r="V70" s="33">
        <f>'[1]Summary for IPSIS'!$BD$64+'[1]Summary for IPSIS'!$BE$64</f>
        <v>361760</v>
      </c>
      <c r="W70" s="33">
        <f>'[1]Summary for IPSIS'!$BF$64</f>
        <v>0</v>
      </c>
      <c r="X70" s="33">
        <f t="shared" si="32"/>
        <v>361760</v>
      </c>
      <c r="Y70" s="33">
        <f t="shared" si="33"/>
        <v>1988448</v>
      </c>
      <c r="Z70" s="33">
        <f t="shared" si="34"/>
        <v>0</v>
      </c>
      <c r="AA70" s="33">
        <f t="shared" si="35"/>
        <v>1988448</v>
      </c>
      <c r="AB70" s="33">
        <f>0</f>
        <v>0</v>
      </c>
      <c r="AC70" s="33">
        <f>0</f>
        <v>0</v>
      </c>
      <c r="AD70" s="33">
        <f t="shared" si="36"/>
        <v>0</v>
      </c>
      <c r="AE70" s="33">
        <f>1988448</f>
        <v>1988448</v>
      </c>
      <c r="AF70" s="33">
        <f>0</f>
        <v>0</v>
      </c>
      <c r="AG70" s="33"/>
      <c r="AH70" s="33">
        <f t="shared" si="37"/>
        <v>1988448</v>
      </c>
      <c r="AI70" s="33">
        <f>0</f>
        <v>0</v>
      </c>
      <c r="AJ70" s="33">
        <f>0</f>
        <v>0</v>
      </c>
      <c r="AK70" s="33">
        <f t="shared" si="38"/>
        <v>0</v>
      </c>
      <c r="AL70" s="210">
        <f t="shared" si="27"/>
        <v>0</v>
      </c>
    </row>
    <row r="71" spans="1:38" s="23" customFormat="1" ht="62.4" customHeight="1">
      <c r="B71" s="93" t="s">
        <v>481</v>
      </c>
      <c r="C71" s="188" t="s">
        <v>504</v>
      </c>
      <c r="D71" s="194" t="s">
        <v>606</v>
      </c>
      <c r="E71" s="189" t="s">
        <v>630</v>
      </c>
      <c r="F71" s="17" t="s">
        <v>630</v>
      </c>
      <c r="G71" s="17" t="s">
        <v>646</v>
      </c>
      <c r="H71" s="181">
        <v>2021</v>
      </c>
      <c r="I71" s="181">
        <v>2025</v>
      </c>
      <c r="J71" s="33">
        <f>'[1]Summary for IPSIS'!$H$65+'[1]Summary for IPSIS'!$I$65</f>
        <v>200400</v>
      </c>
      <c r="K71" s="33">
        <f>'[1]Summary for IPSIS'!$J$65</f>
        <v>0</v>
      </c>
      <c r="L71" s="33">
        <f t="shared" si="28"/>
        <v>200400</v>
      </c>
      <c r="M71" s="33">
        <f>'[1]Summary for IPSIS'!$T$65+'[1]Summary for IPSIS'!$U$65</f>
        <v>200400</v>
      </c>
      <c r="N71" s="33">
        <f>'[1]Summary for IPSIS'!$V$65</f>
        <v>0</v>
      </c>
      <c r="O71" s="33">
        <f t="shared" si="29"/>
        <v>200400</v>
      </c>
      <c r="P71" s="33">
        <f>'[1]Summary for IPSIS'!$AF$65+'[1]Summary for IPSIS'!$AG$65</f>
        <v>200400</v>
      </c>
      <c r="Q71" s="33">
        <f>'[1]Summary for IPSIS'!$AH$65</f>
        <v>0</v>
      </c>
      <c r="R71" s="33">
        <f t="shared" si="30"/>
        <v>200400</v>
      </c>
      <c r="S71" s="33">
        <f>'[1]Summary for IPSIS'!$AR$65+'[1]Summary for IPSIS'!$AS$65</f>
        <v>200400</v>
      </c>
      <c r="T71" s="33">
        <f>'[1]Summary for IPSIS'!$AT$65</f>
        <v>0</v>
      </c>
      <c r="U71" s="33">
        <f t="shared" si="31"/>
        <v>200400</v>
      </c>
      <c r="V71" s="33">
        <f>'[1]Summary for IPSIS'!$BD$65+'[1]Summary for IPSIS'!$BE$65</f>
        <v>200400</v>
      </c>
      <c r="W71" s="33">
        <f>'[1]Summary for IPSIS'!$BF$65</f>
        <v>0</v>
      </c>
      <c r="X71" s="33">
        <f t="shared" si="32"/>
        <v>200400</v>
      </c>
      <c r="Y71" s="33">
        <f t="shared" si="33"/>
        <v>1002000</v>
      </c>
      <c r="Z71" s="33">
        <f t="shared" si="34"/>
        <v>0</v>
      </c>
      <c r="AA71" s="33">
        <f t="shared" si="35"/>
        <v>1002000</v>
      </c>
      <c r="AB71" s="33">
        <f>0</f>
        <v>0</v>
      </c>
      <c r="AC71" s="33">
        <f>0</f>
        <v>0</v>
      </c>
      <c r="AD71" s="33">
        <f t="shared" si="36"/>
        <v>0</v>
      </c>
      <c r="AE71" s="33">
        <f>1002000</f>
        <v>1002000</v>
      </c>
      <c r="AF71" s="33">
        <f>0</f>
        <v>0</v>
      </c>
      <c r="AG71" s="33"/>
      <c r="AH71" s="33">
        <f t="shared" si="37"/>
        <v>1002000</v>
      </c>
      <c r="AI71" s="33">
        <f>0</f>
        <v>0</v>
      </c>
      <c r="AJ71" s="33">
        <f>0</f>
        <v>0</v>
      </c>
      <c r="AK71" s="33">
        <f t="shared" si="38"/>
        <v>0</v>
      </c>
      <c r="AL71" s="210">
        <f t="shared" si="27"/>
        <v>0</v>
      </c>
    </row>
    <row r="72" spans="1:38" s="23" customFormat="1" ht="62.4" customHeight="1">
      <c r="B72" s="93" t="s">
        <v>482</v>
      </c>
      <c r="C72" s="188" t="s">
        <v>496</v>
      </c>
      <c r="D72" s="194" t="s">
        <v>607</v>
      </c>
      <c r="E72" s="189" t="s">
        <v>630</v>
      </c>
      <c r="F72" s="17" t="s">
        <v>630</v>
      </c>
      <c r="G72" s="17" t="s">
        <v>646</v>
      </c>
      <c r="H72" s="181">
        <v>2021</v>
      </c>
      <c r="I72" s="181">
        <v>2025</v>
      </c>
      <c r="J72" s="33">
        <f>'[1]Summary for IPSIS'!$H$66+'[1]Summary for IPSIS'!$I$66</f>
        <v>0</v>
      </c>
      <c r="K72" s="33">
        <f>'[1]Summary for IPSIS'!$J$66</f>
        <v>0</v>
      </c>
      <c r="L72" s="33">
        <f t="shared" si="28"/>
        <v>0</v>
      </c>
      <c r="M72" s="33">
        <f>'[1]Summary for IPSIS'!$T$66+'[1]Summary for IPSIS'!$U$66</f>
        <v>0</v>
      </c>
      <c r="N72" s="33">
        <f>'[1]Summary for IPSIS'!$V$66</f>
        <v>0</v>
      </c>
      <c r="O72" s="33">
        <f t="shared" si="29"/>
        <v>0</v>
      </c>
      <c r="P72" s="33">
        <f>'[1]Summary for IPSIS'!$AF$66+'[1]Summary for IPSIS'!$AG$66</f>
        <v>0</v>
      </c>
      <c r="Q72" s="33">
        <f>'[1]Summary for IPSIS'!$AH$66</f>
        <v>0</v>
      </c>
      <c r="R72" s="33">
        <f t="shared" si="30"/>
        <v>0</v>
      </c>
      <c r="S72" s="33">
        <f>'[1]Summary for IPSIS'!$AR$66+'[1]Summary for IPSIS'!$AS$66</f>
        <v>0</v>
      </c>
      <c r="T72" s="33">
        <f>'[1]Summary for IPSIS'!$AT$66</f>
        <v>0</v>
      </c>
      <c r="U72" s="33">
        <f t="shared" si="31"/>
        <v>0</v>
      </c>
      <c r="V72" s="33">
        <f>'[1]Summary for IPSIS'!$BD$66+'[1]Summary for IPSIS'!$BE$66</f>
        <v>0</v>
      </c>
      <c r="W72" s="33">
        <f>'[1]Summary for IPSIS'!$BF$66</f>
        <v>0</v>
      </c>
      <c r="X72" s="33">
        <f t="shared" si="32"/>
        <v>0</v>
      </c>
      <c r="Y72" s="33">
        <f t="shared" si="33"/>
        <v>0</v>
      </c>
      <c r="Z72" s="33">
        <f t="shared" si="34"/>
        <v>0</v>
      </c>
      <c r="AA72" s="33">
        <f t="shared" si="35"/>
        <v>0</v>
      </c>
      <c r="AB72" s="33">
        <f>0</f>
        <v>0</v>
      </c>
      <c r="AC72" s="33">
        <f>0</f>
        <v>0</v>
      </c>
      <c r="AD72" s="33">
        <f t="shared" si="36"/>
        <v>0</v>
      </c>
      <c r="AE72" s="33">
        <f>0</f>
        <v>0</v>
      </c>
      <c r="AF72" s="33">
        <f>0</f>
        <v>0</v>
      </c>
      <c r="AG72" s="33"/>
      <c r="AH72" s="33">
        <f t="shared" si="37"/>
        <v>0</v>
      </c>
      <c r="AI72" s="33">
        <f>0</f>
        <v>0</v>
      </c>
      <c r="AJ72" s="33">
        <f>0</f>
        <v>0</v>
      </c>
      <c r="AK72" s="33">
        <f t="shared" si="38"/>
        <v>0</v>
      </c>
      <c r="AL72" s="210">
        <f t="shared" si="27"/>
        <v>0</v>
      </c>
    </row>
    <row r="73" spans="1:38" s="23" customFormat="1" ht="62.4" customHeight="1">
      <c r="B73" s="93" t="s">
        <v>483</v>
      </c>
      <c r="C73" s="188" t="s">
        <v>497</v>
      </c>
      <c r="D73" s="194" t="s">
        <v>608</v>
      </c>
      <c r="E73" s="189" t="s">
        <v>630</v>
      </c>
      <c r="F73" s="17" t="s">
        <v>630</v>
      </c>
      <c r="G73" s="17" t="s">
        <v>646</v>
      </c>
      <c r="H73" s="181">
        <v>2021</v>
      </c>
      <c r="I73" s="181">
        <v>2025</v>
      </c>
      <c r="J73" s="33">
        <f>'[1]Summary for IPSIS'!$H$67+'[1]Summary for IPSIS'!$I$67</f>
        <v>90440</v>
      </c>
      <c r="K73" s="33">
        <f>'[1]Summary for IPSIS'!$J$67</f>
        <v>0</v>
      </c>
      <c r="L73" s="33">
        <f t="shared" si="28"/>
        <v>90440</v>
      </c>
      <c r="M73" s="33">
        <f>'[1]Summary for IPSIS'!$T$67+'[1]Summary for IPSIS'!$U$67</f>
        <v>90440</v>
      </c>
      <c r="N73" s="33">
        <f>'[1]Summary for IPSIS'!$V$67</f>
        <v>0</v>
      </c>
      <c r="O73" s="33">
        <f t="shared" si="29"/>
        <v>90440</v>
      </c>
      <c r="P73" s="33">
        <f>'[1]Summary for IPSIS'!$AF$67+'[1]Summary for IPSIS'!$AG$67</f>
        <v>90440</v>
      </c>
      <c r="Q73" s="33">
        <f>'[1]Summary for IPSIS'!$AH$67</f>
        <v>0</v>
      </c>
      <c r="R73" s="33">
        <f t="shared" si="30"/>
        <v>90440</v>
      </c>
      <c r="S73" s="33">
        <f>'[1]Summary for IPSIS'!$AR$67+'[1]Summary for IPSIS'!$AS$67</f>
        <v>90440</v>
      </c>
      <c r="T73" s="33">
        <f>'[1]Summary for IPSIS'!$AT$67</f>
        <v>0</v>
      </c>
      <c r="U73" s="33">
        <f t="shared" si="31"/>
        <v>90440</v>
      </c>
      <c r="V73" s="33">
        <f>'[1]Summary for IPSIS'!$BD$67+'[1]Summary for IPSIS'!$BE$67</f>
        <v>90440</v>
      </c>
      <c r="W73" s="33">
        <f>'[1]Summary for IPSIS'!$BF$67</f>
        <v>0</v>
      </c>
      <c r="X73" s="33">
        <f t="shared" si="32"/>
        <v>90440</v>
      </c>
      <c r="Y73" s="33">
        <f t="shared" si="33"/>
        <v>452200</v>
      </c>
      <c r="Z73" s="33">
        <f t="shared" si="34"/>
        <v>0</v>
      </c>
      <c r="AA73" s="33">
        <f t="shared" si="35"/>
        <v>452200</v>
      </c>
      <c r="AB73" s="33">
        <f>0</f>
        <v>0</v>
      </c>
      <c r="AC73" s="33">
        <f>0</f>
        <v>0</v>
      </c>
      <c r="AD73" s="33">
        <f t="shared" si="36"/>
        <v>0</v>
      </c>
      <c r="AE73" s="33">
        <f>452200</f>
        <v>452200</v>
      </c>
      <c r="AF73" s="33">
        <f>0</f>
        <v>0</v>
      </c>
      <c r="AG73" s="33"/>
      <c r="AH73" s="33">
        <f t="shared" si="37"/>
        <v>452200</v>
      </c>
      <c r="AI73" s="33">
        <f>0</f>
        <v>0</v>
      </c>
      <c r="AJ73" s="33">
        <f>0</f>
        <v>0</v>
      </c>
      <c r="AK73" s="33">
        <f t="shared" si="38"/>
        <v>0</v>
      </c>
      <c r="AL73" s="210">
        <f t="shared" si="27"/>
        <v>0</v>
      </c>
    </row>
    <row r="74" spans="1:38" s="23" customFormat="1" ht="69.599999999999994" customHeight="1">
      <c r="B74" s="93" t="s">
        <v>484</v>
      </c>
      <c r="C74" s="188" t="s">
        <v>498</v>
      </c>
      <c r="D74" s="194" t="s">
        <v>609</v>
      </c>
      <c r="E74" s="189" t="s">
        <v>630</v>
      </c>
      <c r="F74" s="17" t="s">
        <v>630</v>
      </c>
      <c r="G74" s="17" t="s">
        <v>647</v>
      </c>
      <c r="H74" s="181">
        <v>2021</v>
      </c>
      <c r="I74" s="181">
        <v>2025</v>
      </c>
      <c r="J74" s="33">
        <f>'[1]Summary for IPSIS'!$H$68+'[1]Summary for IPSIS'!$I$68</f>
        <v>723520</v>
      </c>
      <c r="K74" s="33">
        <f>'[1]Summary for IPSIS'!$J$68</f>
        <v>0</v>
      </c>
      <c r="L74" s="33">
        <f t="shared" si="28"/>
        <v>723520</v>
      </c>
      <c r="M74" s="33">
        <f>'[1]Summary for IPSIS'!$T$68+'[1]Summary for IPSIS'!$U$68</f>
        <v>542640</v>
      </c>
      <c r="N74" s="33">
        <f>'[1]Summary for IPSIS'!$V$68</f>
        <v>0</v>
      </c>
      <c r="O74" s="33">
        <f t="shared" si="29"/>
        <v>542640</v>
      </c>
      <c r="P74" s="33">
        <f>'[1]Summary for IPSIS'!$AF$68+'[1]Summary for IPSIS'!$AG$68</f>
        <v>542640</v>
      </c>
      <c r="Q74" s="33">
        <f>'[1]Summary for IPSIS'!$AH$68</f>
        <v>0</v>
      </c>
      <c r="R74" s="33">
        <f t="shared" si="30"/>
        <v>542640</v>
      </c>
      <c r="S74" s="33">
        <f>'[1]Summary for IPSIS'!$AR$68+'[1]Summary for IPSIS'!$AS$68</f>
        <v>542640</v>
      </c>
      <c r="T74" s="33">
        <f>'[1]Summary for IPSIS'!$AT$68</f>
        <v>0</v>
      </c>
      <c r="U74" s="33">
        <f t="shared" si="31"/>
        <v>542640</v>
      </c>
      <c r="V74" s="33">
        <f>'[1]Summary for IPSIS'!$BD$68+'[1]Summary for IPSIS'!$BE$68</f>
        <v>723520</v>
      </c>
      <c r="W74" s="33">
        <f>'[1]Summary for IPSIS'!$BF$68</f>
        <v>0</v>
      </c>
      <c r="X74" s="33">
        <f t="shared" si="32"/>
        <v>723520</v>
      </c>
      <c r="Y74" s="33">
        <f t="shared" si="33"/>
        <v>3074960</v>
      </c>
      <c r="Z74" s="33">
        <f t="shared" si="34"/>
        <v>0</v>
      </c>
      <c r="AA74" s="33">
        <f t="shared" si="35"/>
        <v>3074960</v>
      </c>
      <c r="AB74" s="33">
        <f>0</f>
        <v>0</v>
      </c>
      <c r="AC74" s="33">
        <f>0</f>
        <v>0</v>
      </c>
      <c r="AD74" s="33">
        <f t="shared" si="36"/>
        <v>0</v>
      </c>
      <c r="AE74" s="33">
        <f>3074960</f>
        <v>3074960</v>
      </c>
      <c r="AF74" s="33">
        <f>0</f>
        <v>0</v>
      </c>
      <c r="AG74" s="33"/>
      <c r="AH74" s="33">
        <f t="shared" si="37"/>
        <v>3074960</v>
      </c>
      <c r="AI74" s="33">
        <f>0</f>
        <v>0</v>
      </c>
      <c r="AJ74" s="33">
        <f>0</f>
        <v>0</v>
      </c>
      <c r="AK74" s="33">
        <f t="shared" si="38"/>
        <v>0</v>
      </c>
      <c r="AL74" s="210">
        <f t="shared" si="27"/>
        <v>0</v>
      </c>
    </row>
    <row r="75" spans="1:38" s="23" customFormat="1" ht="55.8" customHeight="1" thickBot="1">
      <c r="B75" s="221" t="s">
        <v>503</v>
      </c>
      <c r="C75" s="219" t="s">
        <v>627</v>
      </c>
      <c r="D75" s="222" t="s">
        <v>610</v>
      </c>
      <c r="E75" s="220" t="s">
        <v>630</v>
      </c>
      <c r="F75" s="22" t="s">
        <v>630</v>
      </c>
      <c r="G75" s="22" t="s">
        <v>648</v>
      </c>
      <c r="H75" s="182">
        <v>2021</v>
      </c>
      <c r="I75" s="182">
        <v>2025</v>
      </c>
      <c r="J75" s="216">
        <f>'[1]Summary for IPSIS'!$H$69+'[1]Summary for IPSIS'!$I$69</f>
        <v>0</v>
      </c>
      <c r="K75" s="216">
        <f>'[1]Summary for IPSIS'!$J$69</f>
        <v>0</v>
      </c>
      <c r="L75" s="216">
        <f t="shared" si="28"/>
        <v>0</v>
      </c>
      <c r="M75" s="216">
        <f>'[1]Summary for IPSIS'!$T$69+'[1]Summary for IPSIS'!$U$69</f>
        <v>816000</v>
      </c>
      <c r="N75" s="216">
        <f>'[1]Summary for IPSIS'!$V$69</f>
        <v>0</v>
      </c>
      <c r="O75" s="216">
        <f t="shared" si="29"/>
        <v>816000</v>
      </c>
      <c r="P75" s="216">
        <f>'[1]Summary for IPSIS'!$AF$69+'[1]Summary for IPSIS'!$AG$69</f>
        <v>816000</v>
      </c>
      <c r="Q75" s="216">
        <f>'[1]Summary for IPSIS'!$AH$69</f>
        <v>0</v>
      </c>
      <c r="R75" s="216">
        <f t="shared" si="30"/>
        <v>816000</v>
      </c>
      <c r="S75" s="216">
        <f>'[1]Summary for IPSIS'!$AR$69+'[1]Summary for IPSIS'!$AS$69</f>
        <v>816000</v>
      </c>
      <c r="T75" s="216">
        <f>'[1]Summary for IPSIS'!$AT$69</f>
        <v>0</v>
      </c>
      <c r="U75" s="216">
        <f t="shared" si="31"/>
        <v>816000</v>
      </c>
      <c r="V75" s="216">
        <f>'[1]Summary for IPSIS'!$BD$69+'[1]Summary for IPSIS'!$BE$69</f>
        <v>816000</v>
      </c>
      <c r="W75" s="216">
        <f>'[1]Summary for IPSIS'!$BF$69</f>
        <v>0</v>
      </c>
      <c r="X75" s="216">
        <f t="shared" si="32"/>
        <v>816000</v>
      </c>
      <c r="Y75" s="216">
        <f t="shared" si="33"/>
        <v>3264000</v>
      </c>
      <c r="Z75" s="216">
        <f t="shared" si="34"/>
        <v>0</v>
      </c>
      <c r="AA75" s="216">
        <f t="shared" si="35"/>
        <v>3264000</v>
      </c>
      <c r="AB75" s="216">
        <f>0</f>
        <v>0</v>
      </c>
      <c r="AC75" s="216">
        <f>0</f>
        <v>0</v>
      </c>
      <c r="AD75" s="216">
        <f t="shared" si="36"/>
        <v>0</v>
      </c>
      <c r="AE75" s="216">
        <f>0</f>
        <v>0</v>
      </c>
      <c r="AF75" s="216">
        <f>0</f>
        <v>0</v>
      </c>
      <c r="AG75" s="216"/>
      <c r="AH75" s="216">
        <f t="shared" si="37"/>
        <v>0</v>
      </c>
      <c r="AI75" s="216">
        <f>0</f>
        <v>0</v>
      </c>
      <c r="AJ75" s="216">
        <f>0</f>
        <v>0</v>
      </c>
      <c r="AK75" s="216">
        <f t="shared" si="38"/>
        <v>0</v>
      </c>
      <c r="AL75" s="217">
        <f t="shared" si="27"/>
        <v>-3264000</v>
      </c>
    </row>
    <row r="76" spans="1:38" s="36" customFormat="1" ht="32.4" customHeight="1" thickBot="1">
      <c r="A76" s="23"/>
      <c r="B76" s="58"/>
      <c r="C76" s="65" t="s">
        <v>649</v>
      </c>
      <c r="D76" s="66"/>
      <c r="E76" s="66"/>
      <c r="F76" s="56"/>
      <c r="G76" s="56"/>
      <c r="H76" s="56"/>
      <c r="I76" s="179"/>
      <c r="J76" s="57">
        <f>SUM(J45:J75)</f>
        <v>5629208</v>
      </c>
      <c r="K76" s="57">
        <f t="shared" ref="K76:AL76" si="39">SUM(K45:K75)</f>
        <v>9579500</v>
      </c>
      <c r="L76" s="57">
        <f t="shared" si="39"/>
        <v>15208708</v>
      </c>
      <c r="M76" s="57">
        <f t="shared" si="39"/>
        <v>12243048</v>
      </c>
      <c r="N76" s="57">
        <f t="shared" si="39"/>
        <v>9798000</v>
      </c>
      <c r="O76" s="57">
        <f t="shared" si="39"/>
        <v>22041048</v>
      </c>
      <c r="P76" s="57">
        <f t="shared" si="39"/>
        <v>14353928</v>
      </c>
      <c r="Q76" s="57">
        <f t="shared" si="39"/>
        <v>9798000</v>
      </c>
      <c r="R76" s="57">
        <f t="shared" si="39"/>
        <v>24151928</v>
      </c>
      <c r="S76" s="57">
        <f t="shared" si="39"/>
        <v>11396744</v>
      </c>
      <c r="T76" s="57">
        <f t="shared" si="39"/>
        <v>10856000</v>
      </c>
      <c r="U76" s="57">
        <f t="shared" si="39"/>
        <v>22252744</v>
      </c>
      <c r="V76" s="57">
        <f t="shared" si="39"/>
        <v>10442616</v>
      </c>
      <c r="W76" s="57">
        <f t="shared" si="39"/>
        <v>10844500</v>
      </c>
      <c r="X76" s="57">
        <f t="shared" si="39"/>
        <v>21287116</v>
      </c>
      <c r="Y76" s="57">
        <f t="shared" si="39"/>
        <v>54065544</v>
      </c>
      <c r="Z76" s="57">
        <f t="shared" si="39"/>
        <v>50876000</v>
      </c>
      <c r="AA76" s="57">
        <f t="shared" si="39"/>
        <v>104941544</v>
      </c>
      <c r="AB76" s="57">
        <f t="shared" si="39"/>
        <v>14944432</v>
      </c>
      <c r="AC76" s="57">
        <f t="shared" si="39"/>
        <v>29175500</v>
      </c>
      <c r="AD76" s="57">
        <f t="shared" si="39"/>
        <v>44119932</v>
      </c>
      <c r="AE76" s="57">
        <f t="shared" si="39"/>
        <v>15209768</v>
      </c>
      <c r="AF76" s="57">
        <f t="shared" si="39"/>
        <v>0</v>
      </c>
      <c r="AG76" s="57">
        <f t="shared" si="39"/>
        <v>0</v>
      </c>
      <c r="AH76" s="57">
        <f t="shared" si="39"/>
        <v>15209768</v>
      </c>
      <c r="AI76" s="57">
        <f t="shared" si="39"/>
        <v>9271344</v>
      </c>
      <c r="AJ76" s="57">
        <f t="shared" si="39"/>
        <v>21700500</v>
      </c>
      <c r="AK76" s="57">
        <f t="shared" si="39"/>
        <v>30971844</v>
      </c>
      <c r="AL76" s="218">
        <f t="shared" si="39"/>
        <v>-14640000</v>
      </c>
    </row>
    <row r="77" spans="1:38" s="36" customFormat="1" ht="33" customHeight="1" thickBot="1">
      <c r="A77" s="23"/>
      <c r="B77" s="58"/>
      <c r="C77" s="285" t="s">
        <v>748</v>
      </c>
      <c r="D77" s="286"/>
      <c r="E77" s="185"/>
      <c r="F77" s="56"/>
      <c r="G77" s="56"/>
      <c r="H77" s="56"/>
      <c r="I77" s="56"/>
      <c r="J77" s="57">
        <f>J76+J42+J22</f>
        <v>15230616</v>
      </c>
      <c r="K77" s="57">
        <f t="shared" ref="K77:AL77" si="40">K76+K42+K22</f>
        <v>12282000</v>
      </c>
      <c r="L77" s="57">
        <f t="shared" si="40"/>
        <v>27512616</v>
      </c>
      <c r="M77" s="57">
        <f t="shared" si="40"/>
        <v>40656640</v>
      </c>
      <c r="N77" s="57">
        <f t="shared" si="40"/>
        <v>40100500</v>
      </c>
      <c r="O77" s="57">
        <f t="shared" si="40"/>
        <v>80757140</v>
      </c>
      <c r="P77" s="57">
        <f t="shared" si="40"/>
        <v>37363456</v>
      </c>
      <c r="Q77" s="57">
        <f t="shared" si="40"/>
        <v>24000500</v>
      </c>
      <c r="R77" s="57">
        <f t="shared" si="40"/>
        <v>61363956</v>
      </c>
      <c r="S77" s="57">
        <f t="shared" si="40"/>
        <v>34861232</v>
      </c>
      <c r="T77" s="57">
        <f t="shared" si="40"/>
        <v>25058500</v>
      </c>
      <c r="U77" s="57">
        <f t="shared" si="40"/>
        <v>59919732</v>
      </c>
      <c r="V77" s="57">
        <f t="shared" si="40"/>
        <v>34793360</v>
      </c>
      <c r="W77" s="57">
        <f t="shared" si="40"/>
        <v>25047000</v>
      </c>
      <c r="X77" s="57">
        <f t="shared" si="40"/>
        <v>59840360</v>
      </c>
      <c r="Y77" s="57">
        <f t="shared" si="40"/>
        <v>162905304</v>
      </c>
      <c r="Z77" s="57">
        <f t="shared" si="40"/>
        <v>126488500</v>
      </c>
      <c r="AA77" s="57">
        <f t="shared" si="40"/>
        <v>289393804</v>
      </c>
      <c r="AB77" s="57">
        <f t="shared" si="40"/>
        <v>50457064</v>
      </c>
      <c r="AC77" s="57">
        <f t="shared" si="40"/>
        <v>29175500</v>
      </c>
      <c r="AD77" s="57">
        <f t="shared" si="40"/>
        <v>79632564</v>
      </c>
      <c r="AE77" s="57">
        <f t="shared" si="40"/>
        <v>15209768</v>
      </c>
      <c r="AF77" s="57">
        <f t="shared" si="40"/>
        <v>65550000</v>
      </c>
      <c r="AG77" s="57">
        <f t="shared" si="40"/>
        <v>0</v>
      </c>
      <c r="AH77" s="57">
        <f t="shared" si="40"/>
        <v>80759768</v>
      </c>
      <c r="AI77" s="57">
        <f t="shared" si="40"/>
        <v>50590976</v>
      </c>
      <c r="AJ77" s="57">
        <f t="shared" si="40"/>
        <v>21700500</v>
      </c>
      <c r="AK77" s="57">
        <f t="shared" si="40"/>
        <v>72291476</v>
      </c>
      <c r="AL77" s="218">
        <f t="shared" si="40"/>
        <v>-56709996</v>
      </c>
    </row>
    <row r="78" spans="1:38" ht="31.2" customHeight="1" thickBot="1">
      <c r="B78" s="290" t="s">
        <v>135</v>
      </c>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7"/>
    </row>
    <row r="79" spans="1:38" ht="30.6" customHeight="1" thickBot="1">
      <c r="A79" s="6"/>
      <c r="B79" s="290" t="s">
        <v>776</v>
      </c>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296"/>
      <c r="AL79" s="297"/>
    </row>
    <row r="80" spans="1:38" ht="45.6" customHeight="1">
      <c r="A80" s="6"/>
      <c r="B80" s="307" t="s">
        <v>0</v>
      </c>
      <c r="C80" s="307" t="s">
        <v>111</v>
      </c>
      <c r="D80" s="307" t="s">
        <v>1</v>
      </c>
      <c r="E80" s="204" t="s">
        <v>112</v>
      </c>
      <c r="F80" s="307" t="s">
        <v>747</v>
      </c>
      <c r="G80" s="307"/>
      <c r="H80" s="303" t="s">
        <v>116</v>
      </c>
      <c r="I80" s="303"/>
      <c r="J80" s="302" t="s">
        <v>119</v>
      </c>
      <c r="K80" s="302"/>
      <c r="L80" s="302"/>
      <c r="M80" s="302" t="s">
        <v>120</v>
      </c>
      <c r="N80" s="302"/>
      <c r="O80" s="302"/>
      <c r="P80" s="302" t="s">
        <v>121</v>
      </c>
      <c r="Q80" s="327"/>
      <c r="R80" s="327"/>
      <c r="S80" s="328" t="s">
        <v>122</v>
      </c>
      <c r="T80" s="328"/>
      <c r="U80" s="328"/>
      <c r="V80" s="328" t="s">
        <v>123</v>
      </c>
      <c r="W80" s="328"/>
      <c r="X80" s="328"/>
      <c r="Y80" s="328" t="s">
        <v>124</v>
      </c>
      <c r="Z80" s="327"/>
      <c r="AA80" s="327"/>
      <c r="AB80" s="302" t="s">
        <v>125</v>
      </c>
      <c r="AC80" s="302"/>
      <c r="AD80" s="302"/>
      <c r="AE80" s="302"/>
      <c r="AF80" s="302"/>
      <c r="AG80" s="302"/>
      <c r="AH80" s="302"/>
      <c r="AI80" s="302" t="s">
        <v>131</v>
      </c>
      <c r="AJ80" s="331"/>
      <c r="AK80" s="331"/>
      <c r="AL80" s="302" t="s">
        <v>132</v>
      </c>
    </row>
    <row r="81" spans="1:46" ht="31.2" customHeight="1">
      <c r="A81" s="6"/>
      <c r="B81" s="308"/>
      <c r="C81" s="308"/>
      <c r="D81" s="308"/>
      <c r="E81" s="308" t="s">
        <v>113</v>
      </c>
      <c r="F81" s="318" t="s">
        <v>114</v>
      </c>
      <c r="G81" s="318" t="s">
        <v>115</v>
      </c>
      <c r="H81" s="320" t="s">
        <v>117</v>
      </c>
      <c r="I81" s="320" t="s">
        <v>117</v>
      </c>
      <c r="J81" s="299"/>
      <c r="K81" s="299"/>
      <c r="L81" s="299"/>
      <c r="M81" s="299"/>
      <c r="N81" s="299"/>
      <c r="O81" s="299"/>
      <c r="P81" s="315"/>
      <c r="Q81" s="315"/>
      <c r="R81" s="315"/>
      <c r="S81" s="313"/>
      <c r="T81" s="313"/>
      <c r="U81" s="313"/>
      <c r="V81" s="313"/>
      <c r="W81" s="313"/>
      <c r="X81" s="313"/>
      <c r="Y81" s="315"/>
      <c r="Z81" s="315"/>
      <c r="AA81" s="315"/>
      <c r="AB81" s="299" t="s">
        <v>127</v>
      </c>
      <c r="AC81" s="300"/>
      <c r="AD81" s="300"/>
      <c r="AE81" s="299" t="s">
        <v>128</v>
      </c>
      <c r="AF81" s="301"/>
      <c r="AG81" s="301"/>
      <c r="AH81" s="301"/>
      <c r="AI81" s="316" t="s">
        <v>134</v>
      </c>
      <c r="AJ81" s="316"/>
      <c r="AK81" s="316"/>
      <c r="AL81" s="299"/>
    </row>
    <row r="82" spans="1:46" ht="52.8" customHeight="1" thickBot="1">
      <c r="B82" s="309"/>
      <c r="C82" s="309"/>
      <c r="D82" s="309"/>
      <c r="E82" s="309"/>
      <c r="F82" s="325"/>
      <c r="G82" s="325"/>
      <c r="H82" s="326"/>
      <c r="I82" s="326"/>
      <c r="J82" s="223" t="s">
        <v>87</v>
      </c>
      <c r="K82" s="224" t="s">
        <v>88</v>
      </c>
      <c r="L82" s="224" t="s">
        <v>133</v>
      </c>
      <c r="M82" s="223" t="s">
        <v>87</v>
      </c>
      <c r="N82" s="224" t="s">
        <v>88</v>
      </c>
      <c r="O82" s="224" t="s">
        <v>133</v>
      </c>
      <c r="P82" s="223" t="s">
        <v>87</v>
      </c>
      <c r="Q82" s="224" t="s">
        <v>88</v>
      </c>
      <c r="R82" s="224" t="s">
        <v>133</v>
      </c>
      <c r="S82" s="223" t="s">
        <v>87</v>
      </c>
      <c r="T82" s="224" t="s">
        <v>88</v>
      </c>
      <c r="U82" s="224" t="s">
        <v>133</v>
      </c>
      <c r="V82" s="223" t="s">
        <v>87</v>
      </c>
      <c r="W82" s="224" t="s">
        <v>88</v>
      </c>
      <c r="X82" s="224" t="s">
        <v>133</v>
      </c>
      <c r="Y82" s="224" t="s">
        <v>87</v>
      </c>
      <c r="Z82" s="224" t="s">
        <v>88</v>
      </c>
      <c r="AA82" s="224" t="s">
        <v>133</v>
      </c>
      <c r="AB82" s="223" t="s">
        <v>87</v>
      </c>
      <c r="AC82" s="224" t="s">
        <v>88</v>
      </c>
      <c r="AD82" s="224" t="s">
        <v>126</v>
      </c>
      <c r="AE82" s="223" t="s">
        <v>87</v>
      </c>
      <c r="AF82" s="224" t="s">
        <v>88</v>
      </c>
      <c r="AG82" s="224" t="s">
        <v>129</v>
      </c>
      <c r="AH82" s="224" t="s">
        <v>130</v>
      </c>
      <c r="AI82" s="223" t="s">
        <v>87</v>
      </c>
      <c r="AJ82" s="224" t="s">
        <v>88</v>
      </c>
      <c r="AK82" s="224" t="s">
        <v>133</v>
      </c>
      <c r="AL82" s="224"/>
    </row>
    <row r="83" spans="1:46" ht="45.75" customHeight="1">
      <c r="B83" s="161">
        <v>2.1</v>
      </c>
      <c r="C83" s="283" t="s">
        <v>136</v>
      </c>
      <c r="D83" s="284"/>
      <c r="E83" s="208"/>
      <c r="F83" s="75"/>
      <c r="G83" s="75"/>
      <c r="H83" s="160"/>
      <c r="I83" s="160"/>
      <c r="J83" s="70"/>
      <c r="K83" s="70"/>
      <c r="L83" s="77"/>
      <c r="M83" s="70"/>
      <c r="N83" s="70"/>
      <c r="O83" s="77"/>
      <c r="P83" s="70"/>
      <c r="Q83" s="77"/>
      <c r="R83" s="77"/>
      <c r="S83" s="70"/>
      <c r="T83" s="77"/>
      <c r="U83" s="77"/>
      <c r="V83" s="70"/>
      <c r="W83" s="77"/>
      <c r="X83" s="77"/>
      <c r="Y83" s="77"/>
      <c r="Z83" s="77"/>
      <c r="AA83" s="77"/>
      <c r="AB83" s="70"/>
      <c r="AC83" s="77"/>
      <c r="AD83" s="77"/>
      <c r="AE83" s="70"/>
      <c r="AF83" s="77"/>
      <c r="AG83" s="77"/>
      <c r="AH83" s="77"/>
      <c r="AI83" s="70"/>
      <c r="AJ83" s="77"/>
      <c r="AK83" s="77"/>
      <c r="AL83" s="73"/>
    </row>
    <row r="84" spans="1:46" ht="23.4" customHeight="1">
      <c r="B84" s="162"/>
      <c r="C84" s="113" t="s">
        <v>141</v>
      </c>
      <c r="D84" s="60"/>
      <c r="E84" s="60"/>
      <c r="F84" s="18"/>
      <c r="G84" s="18"/>
      <c r="H84" s="114"/>
      <c r="I84" s="114"/>
      <c r="J84" s="31"/>
      <c r="K84" s="31"/>
      <c r="L84" s="115"/>
      <c r="M84" s="31"/>
      <c r="N84" s="31"/>
      <c r="O84" s="115"/>
      <c r="P84" s="31"/>
      <c r="Q84" s="115"/>
      <c r="R84" s="115"/>
      <c r="S84" s="31"/>
      <c r="T84" s="115"/>
      <c r="U84" s="115"/>
      <c r="V84" s="31"/>
      <c r="W84" s="115"/>
      <c r="X84" s="115"/>
      <c r="Y84" s="115"/>
      <c r="Z84" s="115"/>
      <c r="AA84" s="115"/>
      <c r="AB84" s="31"/>
      <c r="AC84" s="115"/>
      <c r="AD84" s="115"/>
      <c r="AE84" s="31"/>
      <c r="AF84" s="115"/>
      <c r="AG84" s="115"/>
      <c r="AH84" s="115"/>
      <c r="AI84" s="31"/>
      <c r="AJ84" s="115"/>
      <c r="AK84" s="115"/>
      <c r="AL84" s="225"/>
    </row>
    <row r="85" spans="1:46" ht="48.6" customHeight="1">
      <c r="B85" s="162" t="s">
        <v>15</v>
      </c>
      <c r="C85" s="195" t="s">
        <v>360</v>
      </c>
      <c r="D85" s="12"/>
      <c r="E85" s="189" t="s">
        <v>653</v>
      </c>
      <c r="F85" s="10" t="s">
        <v>361</v>
      </c>
      <c r="G85" s="10"/>
      <c r="H85" s="181">
        <v>2021</v>
      </c>
      <c r="I85" s="181">
        <v>2022</v>
      </c>
      <c r="J85" s="33">
        <f>'[1]Summary for IPSIS'!$H$72+'[1]Summary for IPSIS'!$I$72</f>
        <v>154670</v>
      </c>
      <c r="K85" s="31">
        <f>'[1]Summary for IPSIS'!$J$72</f>
        <v>0</v>
      </c>
      <c r="L85" s="32">
        <f>J85+K85</f>
        <v>154670</v>
      </c>
      <c r="M85" s="33">
        <f>'[1]Summary for IPSIS'!$T$72+'[1]Summary for IPSIS'!$U$72</f>
        <v>154670</v>
      </c>
      <c r="N85" s="31">
        <f>'[1]Summary for IPSIS'!$V$72</f>
        <v>0</v>
      </c>
      <c r="O85" s="32">
        <f>M85+N85</f>
        <v>154670</v>
      </c>
      <c r="P85" s="33">
        <f>'[1]Summary for IPSIS'!$AF$72+'[1]Summary for IPSIS'!$AG$72</f>
        <v>0</v>
      </c>
      <c r="Q85" s="32">
        <f>'[1]Summary for IPSIS'!$AH$72</f>
        <v>0</v>
      </c>
      <c r="R85" s="32">
        <f>P85+Q85</f>
        <v>0</v>
      </c>
      <c r="S85" s="33">
        <f>'[1]Summary for IPSIS'!$AR$72+'[1]Summary for IPSIS'!$AS$72</f>
        <v>0</v>
      </c>
      <c r="T85" s="32">
        <f>'[1]Summary for IPSIS'!$AT$72</f>
        <v>0</v>
      </c>
      <c r="U85" s="32">
        <f>S85+T85</f>
        <v>0</v>
      </c>
      <c r="V85" s="33">
        <f>'[1]Summary for IPSIS'!$BD$72+'[1]Summary for IPSIS'!$BE$72</f>
        <v>0</v>
      </c>
      <c r="W85" s="32">
        <f>'[1]Summary for IPSIS'!$BF$72</f>
        <v>0</v>
      </c>
      <c r="X85" s="32">
        <f>V85+W85</f>
        <v>0</v>
      </c>
      <c r="Y85" s="32">
        <f>J85+M85+P85+S85+V85</f>
        <v>309340</v>
      </c>
      <c r="Z85" s="32">
        <f>K85+N85+Q85+T85+W85</f>
        <v>0</v>
      </c>
      <c r="AA85" s="32">
        <f>Y85+Z85</f>
        <v>309340</v>
      </c>
      <c r="AB85" s="33">
        <f>154670+154670+0</f>
        <v>309340</v>
      </c>
      <c r="AC85" s="32">
        <f>0</f>
        <v>0</v>
      </c>
      <c r="AD85" s="32">
        <f>AB85+AC85</f>
        <v>309340</v>
      </c>
      <c r="AE85" s="33">
        <f>0</f>
        <v>0</v>
      </c>
      <c r="AF85" s="32">
        <f>0</f>
        <v>0</v>
      </c>
      <c r="AG85" s="39"/>
      <c r="AH85" s="39">
        <f>AE85+AF85</f>
        <v>0</v>
      </c>
      <c r="AI85" s="34">
        <f>0</f>
        <v>0</v>
      </c>
      <c r="AJ85" s="39">
        <f>0</f>
        <v>0</v>
      </c>
      <c r="AK85" s="39">
        <f>AI85+AJ85</f>
        <v>0</v>
      </c>
      <c r="AL85" s="210">
        <f t="shared" ref="AL85:AL95" si="41">SUM(AK85+AH85+AD85)-AA85</f>
        <v>0</v>
      </c>
    </row>
    <row r="86" spans="1:46" ht="48.6" customHeight="1">
      <c r="B86" s="162" t="s">
        <v>16</v>
      </c>
      <c r="C86" s="186" t="s">
        <v>650</v>
      </c>
      <c r="D86" s="12"/>
      <c r="E86" s="189" t="s">
        <v>653</v>
      </c>
      <c r="F86" s="10"/>
      <c r="G86" s="10"/>
      <c r="H86" s="181">
        <v>2022</v>
      </c>
      <c r="I86" s="181">
        <v>2023</v>
      </c>
      <c r="J86" s="33">
        <f>'[1]Summary for IPSIS'!$H$73+'[1]Summary for IPSIS'!$I$73</f>
        <v>960000</v>
      </c>
      <c r="K86" s="31">
        <f>'[1]Summary for IPSIS'!$J$73</f>
        <v>0</v>
      </c>
      <c r="L86" s="32">
        <f t="shared" ref="L86:L95" si="42">J86+K86</f>
        <v>960000</v>
      </c>
      <c r="M86" s="33">
        <f>'[1]Summary for IPSIS'!$T$73+'[1]Summary for IPSIS'!$U$73</f>
        <v>960000</v>
      </c>
      <c r="N86" s="31">
        <f>'[1]Summary for IPSIS'!$V$73</f>
        <v>0</v>
      </c>
      <c r="O86" s="32">
        <f t="shared" ref="O86:O95" si="43">M86+N86</f>
        <v>960000</v>
      </c>
      <c r="P86" s="33">
        <f>'[1]Summary for IPSIS'!$AF$73+'[1]Summary for IPSIS'!$AG$73</f>
        <v>960000</v>
      </c>
      <c r="Q86" s="32">
        <f>'[1]Summary for IPSIS'!$AH$73</f>
        <v>0</v>
      </c>
      <c r="R86" s="32">
        <f t="shared" ref="R86:R95" si="44">P86+Q86</f>
        <v>960000</v>
      </c>
      <c r="S86" s="33">
        <f>'[1]Summary for IPSIS'!$AR$73+'[1]Summary for IPSIS'!$AS$73</f>
        <v>0</v>
      </c>
      <c r="T86" s="32">
        <f>'[1]Summary for IPSIS'!$AT$73</f>
        <v>0</v>
      </c>
      <c r="U86" s="32">
        <f t="shared" ref="U86:U95" si="45">S86+T86</f>
        <v>0</v>
      </c>
      <c r="V86" s="33">
        <f>'[1]Summary for IPSIS'!$BD$73+'[1]Summary for IPSIS'!$BE$73</f>
        <v>0</v>
      </c>
      <c r="W86" s="32">
        <f>'[1]Summary for IPSIS'!$BF$73</f>
        <v>0</v>
      </c>
      <c r="X86" s="32">
        <f t="shared" ref="X86:X95" si="46">V86+W86</f>
        <v>0</v>
      </c>
      <c r="Y86" s="32">
        <f t="shared" ref="Y86:Y95" si="47">J86+M86+P86+S86+V86</f>
        <v>2880000</v>
      </c>
      <c r="Z86" s="32">
        <f t="shared" ref="Z86:Z95" si="48">K86+N86+Q86+T86+W86</f>
        <v>0</v>
      </c>
      <c r="AA86" s="32">
        <f t="shared" ref="AA86:AA95" si="49">Y86+Z86</f>
        <v>2880000</v>
      </c>
      <c r="AB86" s="33">
        <f>0</f>
        <v>0</v>
      </c>
      <c r="AC86" s="32">
        <f>0</f>
        <v>0</v>
      </c>
      <c r="AD86" s="32">
        <f t="shared" ref="AD86:AD95" si="50">AB86+AC86</f>
        <v>0</v>
      </c>
      <c r="AE86" s="33">
        <f>0</f>
        <v>0</v>
      </c>
      <c r="AF86" s="32">
        <f>0</f>
        <v>0</v>
      </c>
      <c r="AG86" s="39"/>
      <c r="AH86" s="39">
        <f t="shared" ref="AH86:AH95" si="51">AE86+AF86</f>
        <v>0</v>
      </c>
      <c r="AI86" s="34">
        <f>0</f>
        <v>0</v>
      </c>
      <c r="AJ86" s="39">
        <f>0</f>
        <v>0</v>
      </c>
      <c r="AK86" s="39">
        <f t="shared" ref="AK86:AK95" si="52">AI86+AJ86</f>
        <v>0</v>
      </c>
      <c r="AL86" s="210">
        <f t="shared" si="41"/>
        <v>-2880000</v>
      </c>
    </row>
    <row r="87" spans="1:46" ht="42" customHeight="1">
      <c r="B87" s="47" t="s">
        <v>17</v>
      </c>
      <c r="C87" s="195" t="s">
        <v>368</v>
      </c>
      <c r="D87" s="14"/>
      <c r="E87" s="189" t="s">
        <v>654</v>
      </c>
      <c r="F87" s="10" t="s">
        <v>361</v>
      </c>
      <c r="G87" s="10"/>
      <c r="H87" s="181">
        <v>2023</v>
      </c>
      <c r="I87" s="181">
        <v>2023</v>
      </c>
      <c r="J87" s="33">
        <f>'[1]Summary for IPSIS'!$H$74+'[1]Summary for IPSIS'!$I$74</f>
        <v>154670</v>
      </c>
      <c r="K87" s="31">
        <f>'[1]Summary for IPSIS'!$J$74</f>
        <v>0</v>
      </c>
      <c r="L87" s="32">
        <f t="shared" si="42"/>
        <v>154670</v>
      </c>
      <c r="M87" s="33">
        <f>'[1]Summary for IPSIS'!$T$74+'[1]Summary for IPSIS'!$U$74</f>
        <v>0</v>
      </c>
      <c r="N87" s="31">
        <f>'[1]Summary for IPSIS'!$V$74</f>
        <v>0</v>
      </c>
      <c r="O87" s="32">
        <f t="shared" si="43"/>
        <v>0</v>
      </c>
      <c r="P87" s="33">
        <f>'[1]Summary for IPSIS'!$AF$74+'[1]Summary for IPSIS'!$AG$74</f>
        <v>15119032.800000001</v>
      </c>
      <c r="Q87" s="32">
        <f>'[1]Summary for IPSIS'!$AH$74</f>
        <v>0</v>
      </c>
      <c r="R87" s="32">
        <f t="shared" si="44"/>
        <v>15119032.800000001</v>
      </c>
      <c r="S87" s="33">
        <f>'[1]Summary for IPSIS'!$AR$74+'[1]Summary for IPSIS'!$AS$74</f>
        <v>0</v>
      </c>
      <c r="T87" s="32">
        <f>'[1]Summary for IPSIS'!$AT$74</f>
        <v>0</v>
      </c>
      <c r="U87" s="32">
        <f t="shared" si="45"/>
        <v>0</v>
      </c>
      <c r="V87" s="33">
        <f>'[1]Summary for IPSIS'!$BD$74+'[1]Summary for IPSIS'!$BE$74</f>
        <v>0</v>
      </c>
      <c r="W87" s="32">
        <f>'[1]Summary for IPSIS'!$BF$74</f>
        <v>0</v>
      </c>
      <c r="X87" s="32">
        <f t="shared" si="46"/>
        <v>0</v>
      </c>
      <c r="Y87" s="32">
        <f t="shared" si="47"/>
        <v>15273702.800000001</v>
      </c>
      <c r="Z87" s="32">
        <f t="shared" si="48"/>
        <v>0</v>
      </c>
      <c r="AA87" s="32">
        <f t="shared" si="49"/>
        <v>15273702.800000001</v>
      </c>
      <c r="AB87" s="34">
        <f>154670+0+0</f>
        <v>154670</v>
      </c>
      <c r="AC87" s="39">
        <f>0</f>
        <v>0</v>
      </c>
      <c r="AD87" s="32">
        <f t="shared" si="50"/>
        <v>154670</v>
      </c>
      <c r="AE87" s="34">
        <f>0</f>
        <v>0</v>
      </c>
      <c r="AF87" s="39">
        <f>0</f>
        <v>0</v>
      </c>
      <c r="AG87" s="39"/>
      <c r="AH87" s="39">
        <f t="shared" si="51"/>
        <v>0</v>
      </c>
      <c r="AI87" s="34">
        <f>0</f>
        <v>0</v>
      </c>
      <c r="AJ87" s="39">
        <f>0</f>
        <v>0</v>
      </c>
      <c r="AK87" s="39">
        <f t="shared" si="52"/>
        <v>0</v>
      </c>
      <c r="AL87" s="210">
        <f t="shared" si="41"/>
        <v>-15119032.800000001</v>
      </c>
    </row>
    <row r="88" spans="1:46" ht="33.6" customHeight="1">
      <c r="B88" s="162" t="s">
        <v>18</v>
      </c>
      <c r="C88" s="195" t="s">
        <v>391</v>
      </c>
      <c r="D88" s="12"/>
      <c r="E88" s="189" t="s">
        <v>654</v>
      </c>
      <c r="F88" s="10" t="s">
        <v>361</v>
      </c>
      <c r="G88" s="10"/>
      <c r="H88" s="181">
        <v>2023</v>
      </c>
      <c r="I88" s="181">
        <v>2023</v>
      </c>
      <c r="J88" s="33">
        <f>'[1]Summary for IPSIS'!$H$75+'[1]Summary for IPSIS'!$I$75</f>
        <v>0</v>
      </c>
      <c r="K88" s="31">
        <f>'[1]Summary for IPSIS'!$J$75</f>
        <v>0</v>
      </c>
      <c r="L88" s="32">
        <f t="shared" si="42"/>
        <v>0</v>
      </c>
      <c r="M88" s="33">
        <f>'[1]Summary for IPSIS'!$T$75+'[1]Summary for IPSIS'!$U$75</f>
        <v>0</v>
      </c>
      <c r="N88" s="31">
        <f>'[1]Summary for IPSIS'!$V$75</f>
        <v>0</v>
      </c>
      <c r="O88" s="32">
        <f t="shared" si="43"/>
        <v>0</v>
      </c>
      <c r="P88" s="33">
        <f>'[1]Summary for IPSIS'!$AF$75+'[1]Summary for IPSIS'!$AG$75</f>
        <v>2399616</v>
      </c>
      <c r="Q88" s="32">
        <f>'[1]Summary for IPSIS'!$AH$75</f>
        <v>0</v>
      </c>
      <c r="R88" s="32">
        <f t="shared" si="44"/>
        <v>2399616</v>
      </c>
      <c r="S88" s="33">
        <f>'[1]Summary for IPSIS'!$AR$75+'[1]Summary for IPSIS'!$AS$75</f>
        <v>2399616</v>
      </c>
      <c r="T88" s="32">
        <f>'[1]Summary for IPSIS'!$AT$75</f>
        <v>0</v>
      </c>
      <c r="U88" s="32">
        <f t="shared" si="45"/>
        <v>2399616</v>
      </c>
      <c r="V88" s="33">
        <f>'[1]Summary for IPSIS'!$BD$75+'[1]Summary for IPSIS'!$BE$75</f>
        <v>2399616</v>
      </c>
      <c r="W88" s="32">
        <f>'[1]Summary for IPSIS'!$BF$75</f>
        <v>0</v>
      </c>
      <c r="X88" s="32">
        <f t="shared" si="46"/>
        <v>2399616</v>
      </c>
      <c r="Y88" s="32">
        <f t="shared" si="47"/>
        <v>7198848</v>
      </c>
      <c r="Z88" s="32">
        <f t="shared" si="48"/>
        <v>0</v>
      </c>
      <c r="AA88" s="32">
        <f t="shared" si="49"/>
        <v>7198848</v>
      </c>
      <c r="AB88" s="34">
        <f>0</f>
        <v>0</v>
      </c>
      <c r="AC88" s="39">
        <f>0</f>
        <v>0</v>
      </c>
      <c r="AD88" s="32">
        <f t="shared" si="50"/>
        <v>0</v>
      </c>
      <c r="AE88" s="41">
        <v>7198848</v>
      </c>
      <c r="AF88" s="37">
        <f>0</f>
        <v>0</v>
      </c>
      <c r="AG88" s="39" t="s">
        <v>655</v>
      </c>
      <c r="AH88" s="39">
        <f t="shared" si="51"/>
        <v>7198848</v>
      </c>
      <c r="AI88" s="34">
        <f>0</f>
        <v>0</v>
      </c>
      <c r="AJ88" s="39">
        <f>0</f>
        <v>0</v>
      </c>
      <c r="AK88" s="39">
        <f t="shared" si="52"/>
        <v>0</v>
      </c>
      <c r="AL88" s="210">
        <f t="shared" si="41"/>
        <v>0</v>
      </c>
    </row>
    <row r="89" spans="1:46" ht="36">
      <c r="B89" s="162" t="s">
        <v>362</v>
      </c>
      <c r="C89" s="188" t="s">
        <v>652</v>
      </c>
      <c r="D89" s="12"/>
      <c r="E89" s="189" t="s">
        <v>654</v>
      </c>
      <c r="F89" s="10" t="s">
        <v>361</v>
      </c>
      <c r="G89" s="10" t="s">
        <v>168</v>
      </c>
      <c r="H89" s="181">
        <v>2021</v>
      </c>
      <c r="I89" s="181">
        <v>2022</v>
      </c>
      <c r="J89" s="33">
        <f>'[1]Summary for IPSIS'!$H$76+'[1]Summary for IPSIS'!$I$76</f>
        <v>277200</v>
      </c>
      <c r="K89" s="31">
        <f>'[1]Summary for IPSIS'!$J$76</f>
        <v>0</v>
      </c>
      <c r="L89" s="32">
        <f t="shared" si="42"/>
        <v>277200</v>
      </c>
      <c r="M89" s="33">
        <f>'[1]Summary for IPSIS'!$T$76+'[1]Summary for IPSIS'!$U$76</f>
        <v>277200</v>
      </c>
      <c r="N89" s="31">
        <f>'[1]Summary for IPSIS'!$V$76</f>
        <v>0</v>
      </c>
      <c r="O89" s="32">
        <f t="shared" si="43"/>
        <v>277200</v>
      </c>
      <c r="P89" s="33">
        <f>'[1]Summary for IPSIS'!$AF$76+'[1]Summary for IPSIS'!$AG$76</f>
        <v>0</v>
      </c>
      <c r="Q89" s="32">
        <f>'[1]Summary for IPSIS'!$AH$76</f>
        <v>0</v>
      </c>
      <c r="R89" s="32">
        <f t="shared" si="44"/>
        <v>0</v>
      </c>
      <c r="S89" s="33">
        <f>'[1]Summary for IPSIS'!$AR$76+'[1]Summary for IPSIS'!$AS$76</f>
        <v>0</v>
      </c>
      <c r="T89" s="32">
        <f>'[1]Summary for IPSIS'!$AT$76</f>
        <v>0</v>
      </c>
      <c r="U89" s="32">
        <f t="shared" si="45"/>
        <v>0</v>
      </c>
      <c r="V89" s="33">
        <f>'[1]Summary for IPSIS'!$BD$76+'[1]Summary for IPSIS'!$BE$76</f>
        <v>0</v>
      </c>
      <c r="W89" s="32">
        <f>'[1]Summary for IPSIS'!$BF$76</f>
        <v>0</v>
      </c>
      <c r="X89" s="32">
        <f t="shared" si="46"/>
        <v>0</v>
      </c>
      <c r="Y89" s="32">
        <f t="shared" si="47"/>
        <v>554400</v>
      </c>
      <c r="Z89" s="32">
        <f t="shared" si="48"/>
        <v>0</v>
      </c>
      <c r="AA89" s="32">
        <f t="shared" si="49"/>
        <v>554400</v>
      </c>
      <c r="AB89" s="34">
        <f>0</f>
        <v>0</v>
      </c>
      <c r="AC89" s="39">
        <f>0</f>
        <v>0</v>
      </c>
      <c r="AD89" s="32">
        <f t="shared" si="50"/>
        <v>0</v>
      </c>
      <c r="AE89" s="41">
        <v>462000</v>
      </c>
      <c r="AF89" s="37">
        <f>0</f>
        <v>0</v>
      </c>
      <c r="AG89" s="39" t="s">
        <v>656</v>
      </c>
      <c r="AH89" s="39">
        <f t="shared" si="51"/>
        <v>462000</v>
      </c>
      <c r="AI89" s="34">
        <f>0</f>
        <v>0</v>
      </c>
      <c r="AJ89" s="39">
        <f>0</f>
        <v>0</v>
      </c>
      <c r="AK89" s="39">
        <f t="shared" si="52"/>
        <v>0</v>
      </c>
      <c r="AL89" s="210">
        <f t="shared" si="41"/>
        <v>-92400</v>
      </c>
    </row>
    <row r="90" spans="1:46" ht="36">
      <c r="B90" s="162" t="s">
        <v>363</v>
      </c>
      <c r="C90" s="188" t="s">
        <v>369</v>
      </c>
      <c r="D90" s="12"/>
      <c r="E90" s="189" t="s">
        <v>654</v>
      </c>
      <c r="F90" s="10" t="s">
        <v>361</v>
      </c>
      <c r="G90" s="10"/>
      <c r="H90" s="181">
        <v>2021</v>
      </c>
      <c r="I90" s="181">
        <v>2022</v>
      </c>
      <c r="J90" s="33">
        <f>'[1]Summary for IPSIS'!$H$77+'[1]Summary for IPSIS'!$I$77</f>
        <v>277200</v>
      </c>
      <c r="K90" s="31">
        <f>'[1]Summary for IPSIS'!$J$77</f>
        <v>0</v>
      </c>
      <c r="L90" s="32">
        <f t="shared" si="42"/>
        <v>277200</v>
      </c>
      <c r="M90" s="33">
        <f>'[1]Summary for IPSIS'!$T$77+'[1]Summary for IPSIS'!$U$77</f>
        <v>277200</v>
      </c>
      <c r="N90" s="31">
        <f>'[1]Summary for IPSIS'!$V$77</f>
        <v>0</v>
      </c>
      <c r="O90" s="32">
        <f t="shared" si="43"/>
        <v>277200</v>
      </c>
      <c r="P90" s="33">
        <f>'[1]Summary for IPSIS'!$AF$77+'[1]Summary for IPSIS'!$AG$77</f>
        <v>0</v>
      </c>
      <c r="Q90" s="32">
        <f>'[1]Summary for IPSIS'!$AH$77</f>
        <v>0</v>
      </c>
      <c r="R90" s="32">
        <f t="shared" si="44"/>
        <v>0</v>
      </c>
      <c r="S90" s="33">
        <f>'[1]Summary for IPSIS'!$AR$77+'[1]Summary for IPSIS'!$AS$77</f>
        <v>0</v>
      </c>
      <c r="T90" s="32">
        <f>'[1]Summary for IPSIS'!$AT$77</f>
        <v>0</v>
      </c>
      <c r="U90" s="32">
        <f t="shared" si="45"/>
        <v>0</v>
      </c>
      <c r="V90" s="33">
        <f>'[1]Summary for IPSIS'!$BD$77+'[1]Summary for IPSIS'!$BE$77</f>
        <v>0</v>
      </c>
      <c r="W90" s="32">
        <f>'[1]Summary for IPSIS'!$BF$77</f>
        <v>0</v>
      </c>
      <c r="X90" s="32">
        <f t="shared" si="46"/>
        <v>0</v>
      </c>
      <c r="Y90" s="32">
        <f t="shared" si="47"/>
        <v>554400</v>
      </c>
      <c r="Z90" s="32">
        <f t="shared" si="48"/>
        <v>0</v>
      </c>
      <c r="AA90" s="32">
        <f t="shared" si="49"/>
        <v>554400</v>
      </c>
      <c r="AB90" s="34">
        <f>0</f>
        <v>0</v>
      </c>
      <c r="AC90" s="39">
        <f>0</f>
        <v>0</v>
      </c>
      <c r="AD90" s="32">
        <f t="shared" si="50"/>
        <v>0</v>
      </c>
      <c r="AE90" s="41">
        <v>462000</v>
      </c>
      <c r="AF90" s="37"/>
      <c r="AG90" s="39" t="s">
        <v>655</v>
      </c>
      <c r="AH90" s="39">
        <f t="shared" si="51"/>
        <v>462000</v>
      </c>
      <c r="AI90" s="34">
        <f>0</f>
        <v>0</v>
      </c>
      <c r="AJ90" s="39">
        <f>0</f>
        <v>0</v>
      </c>
      <c r="AK90" s="39">
        <f t="shared" si="52"/>
        <v>0</v>
      </c>
      <c r="AL90" s="210">
        <f t="shared" si="41"/>
        <v>-92400</v>
      </c>
    </row>
    <row r="91" spans="1:46" ht="45.6" customHeight="1">
      <c r="B91" s="162" t="s">
        <v>364</v>
      </c>
      <c r="C91" s="188" t="s">
        <v>370</v>
      </c>
      <c r="D91" s="12"/>
      <c r="E91" s="189" t="s">
        <v>654</v>
      </c>
      <c r="F91" s="10" t="s">
        <v>361</v>
      </c>
      <c r="G91" s="10"/>
      <c r="H91" s="181">
        <v>2021</v>
      </c>
      <c r="I91" s="181">
        <v>2022</v>
      </c>
      <c r="J91" s="33">
        <f>'[1]Summary for IPSIS'!$H$78+'[1]Summary for IPSIS'!$I$78</f>
        <v>457200</v>
      </c>
      <c r="K91" s="31">
        <f>'[1]Summary for IPSIS'!$J$78</f>
        <v>0</v>
      </c>
      <c r="L91" s="32">
        <f t="shared" si="42"/>
        <v>457200</v>
      </c>
      <c r="M91" s="33">
        <f>'[1]Summary for IPSIS'!$T$78+'[1]Summary for IPSIS'!$U$78</f>
        <v>457200</v>
      </c>
      <c r="N91" s="31">
        <f>'[1]Summary for IPSIS'!$V$78</f>
        <v>0</v>
      </c>
      <c r="O91" s="32">
        <f t="shared" si="43"/>
        <v>457200</v>
      </c>
      <c r="P91" s="33">
        <f>'[1]Summary for IPSIS'!$AF$78+'[1]Summary for IPSIS'!$AG$78</f>
        <v>0</v>
      </c>
      <c r="Q91" s="32">
        <f>'[1]Summary for IPSIS'!$AH$78</f>
        <v>0</v>
      </c>
      <c r="R91" s="32">
        <f t="shared" si="44"/>
        <v>0</v>
      </c>
      <c r="S91" s="33">
        <f>'[1]Summary for IPSIS'!$AR$78+'[1]Summary for IPSIS'!$AS$78</f>
        <v>0</v>
      </c>
      <c r="T91" s="32">
        <f>'[1]Summary for IPSIS'!$AT$78</f>
        <v>0</v>
      </c>
      <c r="U91" s="32">
        <f t="shared" si="45"/>
        <v>0</v>
      </c>
      <c r="V91" s="33">
        <f>'[1]Summary for IPSIS'!$BD$78+'[1]Summary for IPSIS'!$BE$78</f>
        <v>0</v>
      </c>
      <c r="W91" s="32">
        <f>'[1]Summary for IPSIS'!$BF$78</f>
        <v>0</v>
      </c>
      <c r="X91" s="32">
        <f t="shared" si="46"/>
        <v>0</v>
      </c>
      <c r="Y91" s="32">
        <f t="shared" si="47"/>
        <v>914400</v>
      </c>
      <c r="Z91" s="32">
        <f t="shared" si="48"/>
        <v>0</v>
      </c>
      <c r="AA91" s="32">
        <f t="shared" si="49"/>
        <v>914400</v>
      </c>
      <c r="AB91" s="34">
        <f>0</f>
        <v>0</v>
      </c>
      <c r="AC91" s="39">
        <f>0</f>
        <v>0</v>
      </c>
      <c r="AD91" s="32">
        <f t="shared" si="50"/>
        <v>0</v>
      </c>
      <c r="AE91" s="41">
        <v>762000</v>
      </c>
      <c r="AF91" s="37">
        <f>0</f>
        <v>0</v>
      </c>
      <c r="AG91" s="39" t="s">
        <v>655</v>
      </c>
      <c r="AH91" s="39">
        <f t="shared" si="51"/>
        <v>762000</v>
      </c>
      <c r="AI91" s="34">
        <f>0</f>
        <v>0</v>
      </c>
      <c r="AJ91" s="39">
        <f>0</f>
        <v>0</v>
      </c>
      <c r="AK91" s="39">
        <f t="shared" si="52"/>
        <v>0</v>
      </c>
      <c r="AL91" s="210">
        <f t="shared" si="41"/>
        <v>-152400</v>
      </c>
    </row>
    <row r="92" spans="1:46" ht="31.2" customHeight="1">
      <c r="B92" s="162" t="s">
        <v>365</v>
      </c>
      <c r="C92" s="188" t="s">
        <v>371</v>
      </c>
      <c r="D92" s="12"/>
      <c r="E92" s="189" t="s">
        <v>654</v>
      </c>
      <c r="F92" s="10" t="s">
        <v>361</v>
      </c>
      <c r="G92" s="10"/>
      <c r="H92" s="181">
        <v>2025</v>
      </c>
      <c r="I92" s="181">
        <v>2025</v>
      </c>
      <c r="J92" s="33">
        <f>'[1]Summary for IPSIS'!$H$79+'[1]Summary for IPSIS'!$I$790</f>
        <v>0</v>
      </c>
      <c r="K92" s="31">
        <f>'[1]Summary for IPSIS'!$J$79</f>
        <v>0</v>
      </c>
      <c r="L92" s="32">
        <f t="shared" si="42"/>
        <v>0</v>
      </c>
      <c r="M92" s="33">
        <f>'[1]Summary for IPSIS'!$T$79+'[1]Summary for IPSIS'!$U$79</f>
        <v>0</v>
      </c>
      <c r="N92" s="31">
        <f>'[1]Summary for IPSIS'!$V$79</f>
        <v>0</v>
      </c>
      <c r="O92" s="32">
        <f t="shared" si="43"/>
        <v>0</v>
      </c>
      <c r="P92" s="33">
        <f>'[1]Summary for IPSIS'!$AF$79+'[1]Summary for IPSIS'!$AG$79</f>
        <v>0</v>
      </c>
      <c r="Q92" s="32">
        <f>'[1]Summary for IPSIS'!$AH$79</f>
        <v>0</v>
      </c>
      <c r="R92" s="32">
        <f t="shared" si="44"/>
        <v>0</v>
      </c>
      <c r="S92" s="33">
        <f>'[1]Summary for IPSIS'!$AR$79+'[1]Summary for IPSIS'!$AS$79</f>
        <v>0</v>
      </c>
      <c r="T92" s="32">
        <f>'[1]Summary for IPSIS'!$AT$79</f>
        <v>0</v>
      </c>
      <c r="U92" s="32">
        <f t="shared" si="45"/>
        <v>0</v>
      </c>
      <c r="V92" s="33">
        <f>'[1]Summary for IPSIS'!$BD$79+'[1]Summary for IPSIS'!$BE$79</f>
        <v>0</v>
      </c>
      <c r="W92" s="32">
        <f>'[1]Summary for IPSIS'!$BF$79</f>
        <v>345000</v>
      </c>
      <c r="X92" s="32">
        <f t="shared" si="46"/>
        <v>345000</v>
      </c>
      <c r="Y92" s="32">
        <f t="shared" si="47"/>
        <v>0</v>
      </c>
      <c r="Z92" s="32">
        <f t="shared" si="48"/>
        <v>345000</v>
      </c>
      <c r="AA92" s="32">
        <f t="shared" si="49"/>
        <v>345000</v>
      </c>
      <c r="AB92" s="34">
        <f>0</f>
        <v>0</v>
      </c>
      <c r="AC92" s="39">
        <f>0</f>
        <v>0</v>
      </c>
      <c r="AD92" s="32">
        <f t="shared" si="50"/>
        <v>0</v>
      </c>
      <c r="AE92" s="41">
        <f>0</f>
        <v>0</v>
      </c>
      <c r="AF92" s="37">
        <f>0</f>
        <v>0</v>
      </c>
      <c r="AG92" s="39"/>
      <c r="AH92" s="39">
        <f t="shared" si="51"/>
        <v>0</v>
      </c>
      <c r="AI92" s="34">
        <f>0</f>
        <v>0</v>
      </c>
      <c r="AJ92" s="39">
        <f>345000</f>
        <v>345000</v>
      </c>
      <c r="AK92" s="39">
        <f t="shared" si="52"/>
        <v>345000</v>
      </c>
      <c r="AL92" s="210">
        <f t="shared" si="41"/>
        <v>0</v>
      </c>
    </row>
    <row r="93" spans="1:46" ht="28.8" customHeight="1">
      <c r="B93" s="162" t="s">
        <v>366</v>
      </c>
      <c r="C93" s="188" t="s">
        <v>372</v>
      </c>
      <c r="D93" s="12"/>
      <c r="E93" s="189" t="s">
        <v>654</v>
      </c>
      <c r="F93" s="10" t="s">
        <v>361</v>
      </c>
      <c r="G93" s="10" t="s">
        <v>373</v>
      </c>
      <c r="H93" s="181">
        <v>2025</v>
      </c>
      <c r="I93" s="181">
        <v>2025</v>
      </c>
      <c r="J93" s="33">
        <f>'[1]Summary for IPSIS'!$H$80+'[1]Summary for IPSIS'!$I$80</f>
        <v>0</v>
      </c>
      <c r="K93" s="31">
        <f>'[1]Summary for IPSIS'!$J$80</f>
        <v>0</v>
      </c>
      <c r="L93" s="32">
        <f t="shared" si="42"/>
        <v>0</v>
      </c>
      <c r="M93" s="33">
        <f>'[1]Summary for IPSIS'!$T$80+'[1]Summary for IPSIS'!$U$80</f>
        <v>0</v>
      </c>
      <c r="N93" s="31">
        <f>'[1]Summary for IPSIS'!$V$80</f>
        <v>0</v>
      </c>
      <c r="O93" s="32">
        <f t="shared" si="43"/>
        <v>0</v>
      </c>
      <c r="P93" s="33">
        <f>'[1]Summary for IPSIS'!$AF$80+'[1]Summary for IPSIS'!$AG$81</f>
        <v>0</v>
      </c>
      <c r="Q93" s="32">
        <f>'[1]Summary for IPSIS'!$AH$80</f>
        <v>0</v>
      </c>
      <c r="R93" s="32">
        <f t="shared" si="44"/>
        <v>0</v>
      </c>
      <c r="S93" s="33">
        <f>'[1]Summary for IPSIS'!$AR$80+'[1]Summary for IPSIS'!$AS$80</f>
        <v>0</v>
      </c>
      <c r="T93" s="32">
        <f>'[1]Summary for IPSIS'!$AT$80</f>
        <v>0</v>
      </c>
      <c r="U93" s="32">
        <f t="shared" si="45"/>
        <v>0</v>
      </c>
      <c r="V93" s="33">
        <f>'[1]Summary for IPSIS'!$BD$80+'[1]Summary for IPSIS'!$BE$80</f>
        <v>2280000</v>
      </c>
      <c r="W93" s="32">
        <f>'[1]Summary for IPSIS'!$BF$80</f>
        <v>0</v>
      </c>
      <c r="X93" s="32">
        <f t="shared" si="46"/>
        <v>2280000</v>
      </c>
      <c r="Y93" s="32">
        <f t="shared" si="47"/>
        <v>2280000</v>
      </c>
      <c r="Z93" s="32">
        <f t="shared" si="48"/>
        <v>0</v>
      </c>
      <c r="AA93" s="32">
        <f t="shared" si="49"/>
        <v>2280000</v>
      </c>
      <c r="AB93" s="34">
        <f>0</f>
        <v>0</v>
      </c>
      <c r="AC93" s="39">
        <f>0</f>
        <v>0</v>
      </c>
      <c r="AD93" s="32">
        <f t="shared" si="50"/>
        <v>0</v>
      </c>
      <c r="AE93" s="41">
        <f>0</f>
        <v>0</v>
      </c>
      <c r="AF93" s="37">
        <f>0</f>
        <v>0</v>
      </c>
      <c r="AG93" s="39"/>
      <c r="AH93" s="39">
        <f t="shared" si="51"/>
        <v>0</v>
      </c>
      <c r="AI93" s="34">
        <f>0+1900000</f>
        <v>1900000</v>
      </c>
      <c r="AJ93" s="39">
        <f>0</f>
        <v>0</v>
      </c>
      <c r="AK93" s="39">
        <f t="shared" si="52"/>
        <v>1900000</v>
      </c>
      <c r="AL93" s="210">
        <f t="shared" si="41"/>
        <v>-380000</v>
      </c>
    </row>
    <row r="94" spans="1:46" ht="24">
      <c r="B94" s="162" t="s">
        <v>367</v>
      </c>
      <c r="C94" s="188" t="s">
        <v>374</v>
      </c>
      <c r="D94" s="12"/>
      <c r="E94" s="189" t="s">
        <v>654</v>
      </c>
      <c r="F94" s="10" t="s">
        <v>361</v>
      </c>
      <c r="G94" s="10"/>
      <c r="H94" s="181">
        <v>2025</v>
      </c>
      <c r="I94" s="181">
        <v>2025</v>
      </c>
      <c r="J94" s="33">
        <f>'[1]Summary for IPSIS'!$H$81+'[1]Summary for IPSIS'!$I$81</f>
        <v>0</v>
      </c>
      <c r="K94" s="31">
        <f>'[1]Summary for IPSIS'!$J$81</f>
        <v>0</v>
      </c>
      <c r="L94" s="32">
        <f t="shared" si="42"/>
        <v>0</v>
      </c>
      <c r="M94" s="33">
        <f>'[1]Summary for IPSIS'!$T$81+'[1]Summary for IPSIS'!$U$81</f>
        <v>0</v>
      </c>
      <c r="N94" s="31">
        <f>'[1]Summary for IPSIS'!$V$81</f>
        <v>0</v>
      </c>
      <c r="O94" s="32">
        <f t="shared" si="43"/>
        <v>0</v>
      </c>
      <c r="P94" s="33">
        <f>'[1]Summary for IPSIS'!$AF$82+'[1]Summary for IPSIS'!$AG$82</f>
        <v>0</v>
      </c>
      <c r="Q94" s="32">
        <f>'[1]Summary for IPSIS'!$AH$81</f>
        <v>0</v>
      </c>
      <c r="R94" s="32">
        <f t="shared" si="44"/>
        <v>0</v>
      </c>
      <c r="S94" s="33">
        <f>'[1]Summary for IPSIS'!$AR$81+'[1]Summary for IPSIS'!$AS$81</f>
        <v>0</v>
      </c>
      <c r="T94" s="32">
        <f>'[1]Summary for IPSIS'!$AT$81</f>
        <v>0</v>
      </c>
      <c r="U94" s="32">
        <f t="shared" si="45"/>
        <v>0</v>
      </c>
      <c r="V94" s="33">
        <f>'[1]Summary for IPSIS'!$BD$81+'[1]Summary for IPSIS'!$BE$81</f>
        <v>1180736</v>
      </c>
      <c r="W94" s="32">
        <f>'[1]Summary for IPSIS'!$BF$81</f>
        <v>0</v>
      </c>
      <c r="X94" s="32">
        <f t="shared" si="46"/>
        <v>1180736</v>
      </c>
      <c r="Y94" s="32">
        <f t="shared" si="47"/>
        <v>1180736</v>
      </c>
      <c r="Z94" s="32">
        <f t="shared" si="48"/>
        <v>0</v>
      </c>
      <c r="AA94" s="32">
        <f t="shared" si="49"/>
        <v>1180736</v>
      </c>
      <c r="AB94" s="34">
        <f>0</f>
        <v>0</v>
      </c>
      <c r="AC94" s="39">
        <f>0</f>
        <v>0</v>
      </c>
      <c r="AD94" s="32">
        <f t="shared" si="50"/>
        <v>0</v>
      </c>
      <c r="AE94" s="41">
        <f>0</f>
        <v>0</v>
      </c>
      <c r="AF94" s="37">
        <f>0</f>
        <v>0</v>
      </c>
      <c r="AG94" s="39"/>
      <c r="AH94" s="39">
        <f t="shared" si="51"/>
        <v>0</v>
      </c>
      <c r="AI94" s="34">
        <f>1180736</f>
        <v>1180736</v>
      </c>
      <c r="AJ94" s="39"/>
      <c r="AK94" s="39">
        <f t="shared" si="52"/>
        <v>1180736</v>
      </c>
      <c r="AL94" s="210">
        <f t="shared" si="41"/>
        <v>0</v>
      </c>
    </row>
    <row r="95" spans="1:46" s="23" customFormat="1" ht="30" customHeight="1" thickBot="1">
      <c r="B95" s="163" t="s">
        <v>505</v>
      </c>
      <c r="C95" s="219" t="s">
        <v>651</v>
      </c>
      <c r="D95" s="226"/>
      <c r="E95" s="220" t="s">
        <v>654</v>
      </c>
      <c r="F95" s="76" t="s">
        <v>361</v>
      </c>
      <c r="G95" s="76"/>
      <c r="H95" s="182">
        <v>2021</v>
      </c>
      <c r="I95" s="182">
        <v>2022</v>
      </c>
      <c r="J95" s="216">
        <f>'[1]Summary for IPSIS'!$H$82+'[1]Summary for IPSIS'!$I$82</f>
        <v>0</v>
      </c>
      <c r="K95" s="215">
        <f>'[1]Summary for IPSIS'!$J$82</f>
        <v>575000</v>
      </c>
      <c r="L95" s="69">
        <f t="shared" si="42"/>
        <v>575000</v>
      </c>
      <c r="M95" s="216">
        <f>'[1]Summary for IPSIS'!$T$82+'[1]Summary for IPSIS'!$U$82</f>
        <v>0</v>
      </c>
      <c r="N95" s="215">
        <f>'[1]Summary for IPSIS'!$V$82</f>
        <v>575000</v>
      </c>
      <c r="O95" s="69">
        <f t="shared" si="43"/>
        <v>575000</v>
      </c>
      <c r="P95" s="216">
        <f>'[1]Summary for IPSIS'!$AF$72+'[1]Summary for IPSIS'!$AG$72</f>
        <v>0</v>
      </c>
      <c r="Q95" s="69">
        <f>'[1]Summary for IPSIS'!$AH$82</f>
        <v>0</v>
      </c>
      <c r="R95" s="69">
        <f t="shared" si="44"/>
        <v>0</v>
      </c>
      <c r="S95" s="216">
        <f>'[1]Summary for IPSIS'!$AR$82+'[1]Summary for IPSIS'!$AS$82</f>
        <v>0</v>
      </c>
      <c r="T95" s="69">
        <f>'[1]Summary for IPSIS'!$AT$82</f>
        <v>0</v>
      </c>
      <c r="U95" s="69">
        <f t="shared" si="45"/>
        <v>0</v>
      </c>
      <c r="V95" s="216">
        <f>'[1]Summary for IPSIS'!$BD$82+'[1]Summary for IPSIS'!$BE$82</f>
        <v>0</v>
      </c>
      <c r="W95" s="69">
        <f>'[1]Summary for IPSIS'!$BF$82</f>
        <v>0</v>
      </c>
      <c r="X95" s="69">
        <f t="shared" si="46"/>
        <v>0</v>
      </c>
      <c r="Y95" s="69">
        <f t="shared" si="47"/>
        <v>0</v>
      </c>
      <c r="Z95" s="69">
        <f t="shared" si="48"/>
        <v>1150000</v>
      </c>
      <c r="AA95" s="69">
        <f t="shared" si="49"/>
        <v>1150000</v>
      </c>
      <c r="AB95" s="74">
        <f>0</f>
        <v>0</v>
      </c>
      <c r="AC95" s="74">
        <f>575000+575000</f>
        <v>1150000</v>
      </c>
      <c r="AD95" s="69">
        <f t="shared" si="50"/>
        <v>1150000</v>
      </c>
      <c r="AE95" s="74">
        <f>0</f>
        <v>0</v>
      </c>
      <c r="AF95" s="74">
        <f>0</f>
        <v>0</v>
      </c>
      <c r="AG95" s="74"/>
      <c r="AH95" s="82">
        <f t="shared" si="51"/>
        <v>0</v>
      </c>
      <c r="AI95" s="74">
        <f>0</f>
        <v>0</v>
      </c>
      <c r="AJ95" s="74">
        <f>0</f>
        <v>0</v>
      </c>
      <c r="AK95" s="82">
        <f t="shared" si="52"/>
        <v>0</v>
      </c>
      <c r="AL95" s="217">
        <f t="shared" si="41"/>
        <v>0</v>
      </c>
      <c r="AN95" s="52"/>
      <c r="AO95" s="52"/>
      <c r="AP95" s="52"/>
      <c r="AQ95" s="52"/>
      <c r="AR95" s="52"/>
      <c r="AS95" s="52"/>
    </row>
    <row r="96" spans="1:46" s="6" customFormat="1" ht="30.75" customHeight="1" thickBot="1">
      <c r="B96" s="58"/>
      <c r="C96" s="65" t="s">
        <v>67</v>
      </c>
      <c r="D96" s="66"/>
      <c r="E96" s="66"/>
      <c r="F96" s="56"/>
      <c r="G96" s="56"/>
      <c r="H96" s="56"/>
      <c r="I96" s="56"/>
      <c r="J96" s="57">
        <f>SUM(J85:J95)</f>
        <v>2280940</v>
      </c>
      <c r="K96" s="57">
        <f t="shared" ref="K96:AL96" si="53">SUM(K85:K95)</f>
        <v>575000</v>
      </c>
      <c r="L96" s="57">
        <f t="shared" si="53"/>
        <v>2855940</v>
      </c>
      <c r="M96" s="57">
        <f t="shared" si="53"/>
        <v>2126270</v>
      </c>
      <c r="N96" s="57">
        <f t="shared" si="53"/>
        <v>575000</v>
      </c>
      <c r="O96" s="57">
        <f t="shared" si="53"/>
        <v>2701270</v>
      </c>
      <c r="P96" s="57">
        <f t="shared" si="53"/>
        <v>18478648.800000001</v>
      </c>
      <c r="Q96" s="57">
        <f t="shared" si="53"/>
        <v>0</v>
      </c>
      <c r="R96" s="57">
        <f t="shared" si="53"/>
        <v>18478648.800000001</v>
      </c>
      <c r="S96" s="57">
        <f t="shared" si="53"/>
        <v>2399616</v>
      </c>
      <c r="T96" s="57">
        <f t="shared" si="53"/>
        <v>0</v>
      </c>
      <c r="U96" s="57">
        <f t="shared" si="53"/>
        <v>2399616</v>
      </c>
      <c r="V96" s="57">
        <f t="shared" si="53"/>
        <v>5860352</v>
      </c>
      <c r="W96" s="57">
        <f t="shared" si="53"/>
        <v>345000</v>
      </c>
      <c r="X96" s="57">
        <f t="shared" si="53"/>
        <v>6205352</v>
      </c>
      <c r="Y96" s="57">
        <f t="shared" si="53"/>
        <v>31145826.800000001</v>
      </c>
      <c r="Z96" s="57">
        <f t="shared" si="53"/>
        <v>1495000</v>
      </c>
      <c r="AA96" s="57">
        <f t="shared" si="53"/>
        <v>32640826.800000001</v>
      </c>
      <c r="AB96" s="57">
        <f t="shared" si="53"/>
        <v>464010</v>
      </c>
      <c r="AC96" s="57">
        <f t="shared" si="53"/>
        <v>1150000</v>
      </c>
      <c r="AD96" s="57">
        <f t="shared" si="53"/>
        <v>1614010</v>
      </c>
      <c r="AE96" s="57">
        <f t="shared" si="53"/>
        <v>8884848</v>
      </c>
      <c r="AF96" s="57">
        <f t="shared" si="53"/>
        <v>0</v>
      </c>
      <c r="AG96" s="57">
        <f t="shared" si="53"/>
        <v>0</v>
      </c>
      <c r="AH96" s="57">
        <f t="shared" si="53"/>
        <v>8884848</v>
      </c>
      <c r="AI96" s="57">
        <f t="shared" si="53"/>
        <v>3080736</v>
      </c>
      <c r="AJ96" s="57">
        <f t="shared" si="53"/>
        <v>345000</v>
      </c>
      <c r="AK96" s="57">
        <f t="shared" si="53"/>
        <v>3425736</v>
      </c>
      <c r="AL96" s="218">
        <f t="shared" si="53"/>
        <v>-18716232.800000001</v>
      </c>
      <c r="AM96" s="36"/>
      <c r="AN96" s="50"/>
      <c r="AO96" s="50"/>
      <c r="AP96" s="50"/>
      <c r="AQ96" s="50"/>
      <c r="AR96" s="50"/>
      <c r="AS96" s="50"/>
      <c r="AT96" s="36"/>
    </row>
    <row r="97" spans="2:46" ht="57.6" customHeight="1">
      <c r="B97" s="227">
        <v>2.2000000000000002</v>
      </c>
      <c r="C97" s="283" t="s">
        <v>137</v>
      </c>
      <c r="D97" s="284"/>
      <c r="E97" s="208"/>
      <c r="F97" s="75"/>
      <c r="G97" s="75"/>
      <c r="H97" s="81"/>
      <c r="I97" s="81"/>
      <c r="J97" s="80"/>
      <c r="K97" s="80"/>
      <c r="L97" s="78"/>
      <c r="M97" s="80"/>
      <c r="N97" s="80"/>
      <c r="O97" s="78"/>
      <c r="P97" s="80"/>
      <c r="Q97" s="78"/>
      <c r="R97" s="78"/>
      <c r="S97" s="80"/>
      <c r="T97" s="78"/>
      <c r="U97" s="78"/>
      <c r="V97" s="80"/>
      <c r="W97" s="78"/>
      <c r="X97" s="78"/>
      <c r="Y97" s="78"/>
      <c r="Z97" s="78"/>
      <c r="AA97" s="78"/>
      <c r="AB97" s="80"/>
      <c r="AC97" s="78"/>
      <c r="AD97" s="78"/>
      <c r="AE97" s="80"/>
      <c r="AF97" s="78"/>
      <c r="AG97" s="78"/>
      <c r="AH97" s="78"/>
      <c r="AI97" s="80"/>
      <c r="AJ97" s="78"/>
      <c r="AK97" s="78"/>
      <c r="AL97" s="79"/>
      <c r="AN97" s="52"/>
      <c r="AO97" s="53"/>
      <c r="AP97" s="53"/>
      <c r="AQ97" s="53"/>
      <c r="AR97" s="53"/>
      <c r="AS97" s="53"/>
    </row>
    <row r="98" spans="2:46" ht="26.4" customHeight="1">
      <c r="B98" s="47"/>
      <c r="C98" s="113" t="s">
        <v>141</v>
      </c>
      <c r="D98" s="60"/>
      <c r="E98" s="60"/>
      <c r="F98" s="18"/>
      <c r="G98" s="18"/>
      <c r="H98" s="15"/>
      <c r="I98" s="15"/>
      <c r="J98" s="34"/>
      <c r="K98" s="34"/>
      <c r="L98" s="39"/>
      <c r="M98" s="34"/>
      <c r="N98" s="34"/>
      <c r="O98" s="39"/>
      <c r="P98" s="34"/>
      <c r="Q98" s="39"/>
      <c r="R98" s="39"/>
      <c r="S98" s="34"/>
      <c r="T98" s="39"/>
      <c r="U98" s="39"/>
      <c r="V98" s="34"/>
      <c r="W98" s="39"/>
      <c r="X98" s="39"/>
      <c r="Y98" s="39"/>
      <c r="Z98" s="39"/>
      <c r="AA98" s="39"/>
      <c r="AB98" s="34"/>
      <c r="AC98" s="39"/>
      <c r="AD98" s="39"/>
      <c r="AE98" s="34"/>
      <c r="AF98" s="39"/>
      <c r="AG98" s="39"/>
      <c r="AH98" s="39"/>
      <c r="AI98" s="34"/>
      <c r="AJ98" s="39"/>
      <c r="AK98" s="39"/>
      <c r="AL98" s="210"/>
      <c r="AN98" s="52"/>
      <c r="AO98" s="52"/>
      <c r="AP98" s="52"/>
      <c r="AQ98" s="52"/>
      <c r="AR98" s="52"/>
      <c r="AS98" s="52"/>
    </row>
    <row r="99" spans="2:46" ht="50.4" customHeight="1">
      <c r="B99" s="47" t="s">
        <v>20</v>
      </c>
      <c r="C99" s="188" t="s">
        <v>657</v>
      </c>
      <c r="D99" s="49"/>
      <c r="E99" s="189" t="s">
        <v>429</v>
      </c>
      <c r="F99" s="10" t="s">
        <v>168</v>
      </c>
      <c r="G99" s="10" t="s">
        <v>377</v>
      </c>
      <c r="H99" s="181">
        <v>2021</v>
      </c>
      <c r="I99" s="181">
        <v>2022</v>
      </c>
      <c r="J99" s="31">
        <f>'[1]Summary for IPSIS'!$H$84+'[1]Summary for IPSIS'!$I$84</f>
        <v>283200</v>
      </c>
      <c r="K99" s="31">
        <f>'[1]Summary for IPSIS'!$J$84</f>
        <v>0</v>
      </c>
      <c r="L99" s="37">
        <f>J99+K99</f>
        <v>283200</v>
      </c>
      <c r="M99" s="31">
        <f>'[1]Summary for IPSIS'!$T$84+'[1]Summary for IPSIS'!$U$84</f>
        <v>283200</v>
      </c>
      <c r="N99" s="31">
        <f>'[1]Summary for IPSIS'!$V$84</f>
        <v>0</v>
      </c>
      <c r="O99" s="37">
        <f>M99+N99</f>
        <v>283200</v>
      </c>
      <c r="P99" s="41">
        <f>'[1]Summary for IPSIS'!$AF$84+'[1]Summary for IPSIS'!$AG$84</f>
        <v>0</v>
      </c>
      <c r="Q99" s="37">
        <f>'[1]Summary for IPSIS'!$AH$84</f>
        <v>0</v>
      </c>
      <c r="R99" s="37">
        <f>P99+Q99</f>
        <v>0</v>
      </c>
      <c r="S99" s="41">
        <f>'[1]Summary for IPSIS'!$AR$84+'[1]Summary for IPSIS'!$AS$84</f>
        <v>0</v>
      </c>
      <c r="T99" s="37">
        <f>'[1]Summary for IPSIS'!$AT$84</f>
        <v>0</v>
      </c>
      <c r="U99" s="37">
        <f>S99+T99</f>
        <v>0</v>
      </c>
      <c r="V99" s="41">
        <f>'[1]Summary for IPSIS'!$BD$84+'[1]Summary for IPSIS'!$BE$84</f>
        <v>0</v>
      </c>
      <c r="W99" s="37">
        <f>'[1]Summary for IPSIS'!$BF$84</f>
        <v>0</v>
      </c>
      <c r="X99" s="37">
        <f>V99+W99</f>
        <v>0</v>
      </c>
      <c r="Y99" s="37">
        <f>J99+M99+P99+S99+V99</f>
        <v>566400</v>
      </c>
      <c r="Z99" s="37">
        <f>K99+N99+Q99+T99+W99</f>
        <v>0</v>
      </c>
      <c r="AA99" s="37">
        <f>Y99+Z99</f>
        <v>566400</v>
      </c>
      <c r="AB99" s="34">
        <f>0</f>
        <v>0</v>
      </c>
      <c r="AC99" s="39">
        <f>0</f>
        <v>0</v>
      </c>
      <c r="AD99" s="37">
        <f>AB99+AC99</f>
        <v>0</v>
      </c>
      <c r="AE99" s="41">
        <f>0</f>
        <v>0</v>
      </c>
      <c r="AF99" s="37">
        <f>0</f>
        <v>0</v>
      </c>
      <c r="AG99" s="37"/>
      <c r="AH99" s="39">
        <f t="shared" ref="AH99:AH104" si="54">AE99+AF99</f>
        <v>0</v>
      </c>
      <c r="AI99" s="41">
        <f>0</f>
        <v>0</v>
      </c>
      <c r="AJ99" s="37">
        <f>0</f>
        <v>0</v>
      </c>
      <c r="AK99" s="39">
        <f t="shared" ref="AK99:AK104" si="55">AI99+AJ99</f>
        <v>0</v>
      </c>
      <c r="AL99" s="210">
        <f t="shared" ref="AL99:AL104" si="56">SUM(AK99+AH99+AD99)-AA99</f>
        <v>-566400</v>
      </c>
    </row>
    <row r="100" spans="2:46" ht="45.6" customHeight="1">
      <c r="B100" s="48" t="s">
        <v>19</v>
      </c>
      <c r="C100" s="188" t="s">
        <v>658</v>
      </c>
      <c r="D100" s="46"/>
      <c r="E100" s="189" t="s">
        <v>429</v>
      </c>
      <c r="F100" s="10" t="s">
        <v>168</v>
      </c>
      <c r="G100" s="10"/>
      <c r="H100" s="181">
        <v>2021</v>
      </c>
      <c r="I100" s="181">
        <v>2022</v>
      </c>
      <c r="J100" s="31">
        <f>'[1]Summary for IPSIS'!$H$85+'[1]Summary for IPSIS'!$I$85</f>
        <v>0</v>
      </c>
      <c r="K100" s="31">
        <f>'[1]Summary for IPSIS'!$J$85</f>
        <v>0</v>
      </c>
      <c r="L100" s="37">
        <f t="shared" ref="L100:L104" si="57">J100+K100</f>
        <v>0</v>
      </c>
      <c r="M100" s="31">
        <f>'[1]Summary for IPSIS'!$T$85+'[1]Summary for IPSIS'!$U$85</f>
        <v>1596000</v>
      </c>
      <c r="N100" s="31">
        <f>'[1]Summary for IPSIS'!$V$85</f>
        <v>0</v>
      </c>
      <c r="O100" s="37">
        <f t="shared" ref="O100:O104" si="58">M100+N100</f>
        <v>1596000</v>
      </c>
      <c r="P100" s="41">
        <f>'[1]Summary for IPSIS'!$AF$85+'[1]Summary for IPSIS'!$AG$85</f>
        <v>0</v>
      </c>
      <c r="Q100" s="37">
        <f>'[1]Summary for IPSIS'!$AH$85</f>
        <v>0</v>
      </c>
      <c r="R100" s="37">
        <f t="shared" ref="R100:R104" si="59">P100+Q100</f>
        <v>0</v>
      </c>
      <c r="S100" s="41">
        <f>'[1]Summary for IPSIS'!$AR$85+'[1]Summary for IPSIS'!$AS$85</f>
        <v>0</v>
      </c>
      <c r="T100" s="37">
        <f>'[1]Summary for IPSIS'!$AT$85</f>
        <v>0</v>
      </c>
      <c r="U100" s="37">
        <f t="shared" ref="U100:U104" si="60">S100+T100</f>
        <v>0</v>
      </c>
      <c r="V100" s="41">
        <f>'[1]Summary for IPSIS'!$BD$85+'[1]Summary for IPSIS'!$BE$85</f>
        <v>0</v>
      </c>
      <c r="W100" s="37">
        <f>'[1]Summary for IPSIS'!$BF$85</f>
        <v>0</v>
      </c>
      <c r="X100" s="37">
        <f t="shared" ref="X100:X104" si="61">V100+W100</f>
        <v>0</v>
      </c>
      <c r="Y100" s="37">
        <f t="shared" ref="Y100:Y104" si="62">J100+M100+P100+S100+V100</f>
        <v>1596000</v>
      </c>
      <c r="Z100" s="37">
        <f t="shared" ref="Z100:Z104" si="63">K100+N100+Q100+T100+W100</f>
        <v>0</v>
      </c>
      <c r="AA100" s="37">
        <f t="shared" ref="AA100:AA104" si="64">Y100+Z100</f>
        <v>1596000</v>
      </c>
      <c r="AB100" s="34">
        <f>0</f>
        <v>0</v>
      </c>
      <c r="AC100" s="39">
        <f>0</f>
        <v>0</v>
      </c>
      <c r="AD100" s="37">
        <f t="shared" ref="AD100:AD104" si="65">AB100+AC100</f>
        <v>0</v>
      </c>
      <c r="AE100" s="41">
        <f>0</f>
        <v>0</v>
      </c>
      <c r="AF100" s="37">
        <f>0</f>
        <v>0</v>
      </c>
      <c r="AG100" s="37"/>
      <c r="AH100" s="39">
        <f t="shared" si="54"/>
        <v>0</v>
      </c>
      <c r="AI100" s="41">
        <f>0</f>
        <v>0</v>
      </c>
      <c r="AJ100" s="37">
        <f>0</f>
        <v>0</v>
      </c>
      <c r="AK100" s="39">
        <f t="shared" si="55"/>
        <v>0</v>
      </c>
      <c r="AL100" s="210">
        <f t="shared" si="56"/>
        <v>-1596000</v>
      </c>
    </row>
    <row r="101" spans="2:46" ht="42.6" customHeight="1">
      <c r="B101" s="47" t="s">
        <v>21</v>
      </c>
      <c r="C101" s="195" t="s">
        <v>659</v>
      </c>
      <c r="D101" s="49"/>
      <c r="E101" s="201" t="s">
        <v>428</v>
      </c>
      <c r="F101" s="10" t="s">
        <v>168</v>
      </c>
      <c r="G101" s="10" t="s">
        <v>377</v>
      </c>
      <c r="H101" s="198">
        <v>2025</v>
      </c>
      <c r="I101" s="198">
        <v>2025</v>
      </c>
      <c r="J101" s="31">
        <f>'[1]Summary for IPSIS'!$H$86+'[1]Summary for IPSIS'!$I$86</f>
        <v>0</v>
      </c>
      <c r="K101" s="31">
        <f>'[1]Summary for IPSIS'!$J$86</f>
        <v>0</v>
      </c>
      <c r="L101" s="37">
        <f t="shared" si="57"/>
        <v>0</v>
      </c>
      <c r="M101" s="31">
        <f>'[1]Summary for IPSIS'!$T$86+'[1]Summary for IPSIS'!$U$86</f>
        <v>0</v>
      </c>
      <c r="N101" s="31">
        <f>'[1]Summary for IPSIS'!$V$86</f>
        <v>0</v>
      </c>
      <c r="O101" s="37">
        <f t="shared" si="58"/>
        <v>0</v>
      </c>
      <c r="P101" s="41">
        <f>'[1]Summary for IPSIS'!$AF$86+'[1]Summary for IPSIS'!$AG$86</f>
        <v>0</v>
      </c>
      <c r="Q101" s="37">
        <f>'[1]Summary for IPSIS'!$AH$86</f>
        <v>0</v>
      </c>
      <c r="R101" s="37">
        <f t="shared" si="59"/>
        <v>0</v>
      </c>
      <c r="S101" s="41">
        <f>'[1]Summary for IPSIS'!$AR$86+'[1]Summary for IPSIS'!$AS$86</f>
        <v>0</v>
      </c>
      <c r="T101" s="37">
        <f>'[1]Summary for IPSIS'!$AT$86</f>
        <v>0</v>
      </c>
      <c r="U101" s="37">
        <f t="shared" si="60"/>
        <v>0</v>
      </c>
      <c r="V101" s="41">
        <f>'[1]Summary for IPSIS'!$BD$86+'[1]Summary for IPSIS'!$BE$86</f>
        <v>9196880</v>
      </c>
      <c r="W101" s="37">
        <f>'[1]Summary for IPSIS'!$BF$86</f>
        <v>0</v>
      </c>
      <c r="X101" s="37">
        <f t="shared" si="61"/>
        <v>9196880</v>
      </c>
      <c r="Y101" s="37">
        <f t="shared" si="62"/>
        <v>9196880</v>
      </c>
      <c r="Z101" s="37">
        <f t="shared" si="63"/>
        <v>0</v>
      </c>
      <c r="AA101" s="37">
        <f t="shared" si="64"/>
        <v>9196880</v>
      </c>
      <c r="AB101" s="34">
        <f>0</f>
        <v>0</v>
      </c>
      <c r="AC101" s="37">
        <f>0</f>
        <v>0</v>
      </c>
      <c r="AD101" s="37">
        <f t="shared" si="65"/>
        <v>0</v>
      </c>
      <c r="AE101" s="41">
        <f>0</f>
        <v>0</v>
      </c>
      <c r="AF101" s="37">
        <f>0</f>
        <v>0</v>
      </c>
      <c r="AG101" s="37"/>
      <c r="AH101" s="39">
        <f t="shared" si="54"/>
        <v>0</v>
      </c>
      <c r="AI101" s="41">
        <v>9196880</v>
      </c>
      <c r="AJ101" s="37">
        <f>0</f>
        <v>0</v>
      </c>
      <c r="AK101" s="39">
        <f t="shared" si="55"/>
        <v>9196880</v>
      </c>
      <c r="AL101" s="210">
        <f t="shared" si="56"/>
        <v>0</v>
      </c>
    </row>
    <row r="102" spans="2:46" ht="41.4" customHeight="1">
      <c r="B102" s="47" t="s">
        <v>22</v>
      </c>
      <c r="C102" s="195" t="s">
        <v>660</v>
      </c>
      <c r="D102" s="49"/>
      <c r="E102" s="201" t="s">
        <v>429</v>
      </c>
      <c r="F102" s="10" t="s">
        <v>168</v>
      </c>
      <c r="G102" s="10"/>
      <c r="H102" s="198">
        <v>2025</v>
      </c>
      <c r="I102" s="198">
        <v>2025</v>
      </c>
      <c r="J102" s="31">
        <f>'[1]Summary for IPSIS'!$H$87+'[1]Summary for IPSIS'!$I$87</f>
        <v>0</v>
      </c>
      <c r="K102" s="31">
        <f>'[1]Summary for IPSIS'!$J$87</f>
        <v>0</v>
      </c>
      <c r="L102" s="37">
        <f t="shared" si="57"/>
        <v>0</v>
      </c>
      <c r="M102" s="31">
        <f>'[1]Summary for IPSIS'!$T$87+'[1]Summary for IPSIS'!$U$87</f>
        <v>0</v>
      </c>
      <c r="N102" s="31">
        <f>'[1]Summary for IPSIS'!$V$87</f>
        <v>0</v>
      </c>
      <c r="O102" s="37">
        <f t="shared" si="58"/>
        <v>0</v>
      </c>
      <c r="P102" s="41">
        <f>'[1]Summary for IPSIS'!$AF$87+'[1]Summary for IPSIS'!$AG$87</f>
        <v>0</v>
      </c>
      <c r="Q102" s="37">
        <f>'[1]Summary for IPSIS'!$AH$87</f>
        <v>0</v>
      </c>
      <c r="R102" s="37">
        <f t="shared" si="59"/>
        <v>0</v>
      </c>
      <c r="S102" s="41">
        <f>'[1]Summary for IPSIS'!$AR$87+'[1]Summary for IPSIS'!$AS$87</f>
        <v>0</v>
      </c>
      <c r="T102" s="37">
        <f>'[1]Summary for IPSIS'!$AT$87</f>
        <v>0</v>
      </c>
      <c r="U102" s="37">
        <f t="shared" si="60"/>
        <v>0</v>
      </c>
      <c r="V102" s="41">
        <f>'[1]Summary for IPSIS'!$BD$87+'[1]Summary for IPSIS'!$BE$87</f>
        <v>336436.8</v>
      </c>
      <c r="W102" s="37">
        <f>'[1]Summary for IPSIS'!$BF$87</f>
        <v>0</v>
      </c>
      <c r="X102" s="37">
        <f t="shared" si="61"/>
        <v>336436.8</v>
      </c>
      <c r="Y102" s="37">
        <f t="shared" si="62"/>
        <v>336436.8</v>
      </c>
      <c r="Z102" s="37">
        <f t="shared" si="63"/>
        <v>0</v>
      </c>
      <c r="AA102" s="37">
        <f t="shared" si="64"/>
        <v>336436.8</v>
      </c>
      <c r="AB102" s="34">
        <f>0</f>
        <v>0</v>
      </c>
      <c r="AC102" s="37">
        <f>0</f>
        <v>0</v>
      </c>
      <c r="AD102" s="37">
        <f t="shared" si="65"/>
        <v>0</v>
      </c>
      <c r="AE102" s="41">
        <f>0</f>
        <v>0</v>
      </c>
      <c r="AF102" s="37">
        <f>0</f>
        <v>0</v>
      </c>
      <c r="AG102" s="37"/>
      <c r="AH102" s="39">
        <f t="shared" si="54"/>
        <v>0</v>
      </c>
      <c r="AI102" s="41">
        <v>336437</v>
      </c>
      <c r="AJ102" s="37">
        <f>0</f>
        <v>0</v>
      </c>
      <c r="AK102" s="39">
        <f t="shared" si="55"/>
        <v>336437</v>
      </c>
      <c r="AL102" s="210">
        <f t="shared" si="56"/>
        <v>0.20000000001164153</v>
      </c>
    </row>
    <row r="103" spans="2:46" ht="33" customHeight="1">
      <c r="B103" s="47" t="s">
        <v>375</v>
      </c>
      <c r="C103" s="188" t="s">
        <v>661</v>
      </c>
      <c r="D103" s="49"/>
      <c r="E103" s="189" t="s">
        <v>429</v>
      </c>
      <c r="F103" s="10" t="s">
        <v>168</v>
      </c>
      <c r="G103" s="10" t="s">
        <v>378</v>
      </c>
      <c r="H103" s="181">
        <v>2021</v>
      </c>
      <c r="I103" s="181">
        <v>2022</v>
      </c>
      <c r="J103" s="31">
        <f>'[1]Summary for IPSIS'!$H$88+'[1]Summary for IPSIS'!$I$88</f>
        <v>633600</v>
      </c>
      <c r="K103" s="31">
        <f>'[1]Summary for IPSIS'!$J$88</f>
        <v>0</v>
      </c>
      <c r="L103" s="37">
        <f t="shared" si="57"/>
        <v>633600</v>
      </c>
      <c r="M103" s="31">
        <f>'[1]Summary for IPSIS'!$T$88+'[1]Summary for IPSIS'!$U$88</f>
        <v>950400</v>
      </c>
      <c r="N103" s="31">
        <f>'[1]Summary for IPSIS'!$V$88</f>
        <v>0</v>
      </c>
      <c r="O103" s="37">
        <f t="shared" si="58"/>
        <v>950400</v>
      </c>
      <c r="P103" s="41">
        <f>'[1]Summary for IPSIS'!$AF$88+'[1]Summary for IPSIS'!$AG$88</f>
        <v>0</v>
      </c>
      <c r="Q103" s="37">
        <f>'[1]Summary for IPSIS'!$AH$88</f>
        <v>0</v>
      </c>
      <c r="R103" s="37">
        <f t="shared" si="59"/>
        <v>0</v>
      </c>
      <c r="S103" s="41">
        <f>'[1]Summary for IPSIS'!$AR$88+'[1]Summary for IPSIS'!$AS$88</f>
        <v>0</v>
      </c>
      <c r="T103" s="37">
        <f>'[1]Summary for IPSIS'!$AT$88</f>
        <v>0</v>
      </c>
      <c r="U103" s="37">
        <f t="shared" si="60"/>
        <v>0</v>
      </c>
      <c r="V103" s="41">
        <f>'[1]Summary for IPSIS'!$BD$88+'[1]Summary for IPSIS'!$BE$88</f>
        <v>0</v>
      </c>
      <c r="W103" s="37">
        <f>'[1]Summary for IPSIS'!$BF$88</f>
        <v>0</v>
      </c>
      <c r="X103" s="37">
        <f t="shared" si="61"/>
        <v>0</v>
      </c>
      <c r="Y103" s="37">
        <f t="shared" si="62"/>
        <v>1584000</v>
      </c>
      <c r="Z103" s="37">
        <f t="shared" si="63"/>
        <v>0</v>
      </c>
      <c r="AA103" s="37">
        <f t="shared" si="64"/>
        <v>1584000</v>
      </c>
      <c r="AB103" s="34">
        <f>0</f>
        <v>0</v>
      </c>
      <c r="AC103" s="37">
        <f>0</f>
        <v>0</v>
      </c>
      <c r="AD103" s="37">
        <f t="shared" si="65"/>
        <v>0</v>
      </c>
      <c r="AE103" s="41">
        <f>0</f>
        <v>0</v>
      </c>
      <c r="AF103" s="37">
        <f>0</f>
        <v>0</v>
      </c>
      <c r="AG103" s="37"/>
      <c r="AH103" s="39">
        <f t="shared" si="54"/>
        <v>0</v>
      </c>
      <c r="AI103" s="41">
        <f>0</f>
        <v>0</v>
      </c>
      <c r="AJ103" s="37">
        <f>0</f>
        <v>0</v>
      </c>
      <c r="AK103" s="39">
        <f t="shared" si="55"/>
        <v>0</v>
      </c>
      <c r="AL103" s="210">
        <f t="shared" si="56"/>
        <v>-1584000</v>
      </c>
    </row>
    <row r="104" spans="2:46" s="23" customFormat="1" ht="45" customHeight="1" thickBot="1">
      <c r="B104" s="228" t="s">
        <v>376</v>
      </c>
      <c r="C104" s="219" t="s">
        <v>662</v>
      </c>
      <c r="D104" s="229"/>
      <c r="E104" s="220" t="s">
        <v>428</v>
      </c>
      <c r="F104" s="76" t="s">
        <v>168</v>
      </c>
      <c r="G104" s="76" t="s">
        <v>377</v>
      </c>
      <c r="H104" s="182">
        <v>2025</v>
      </c>
      <c r="I104" s="182">
        <v>2025</v>
      </c>
      <c r="J104" s="215">
        <f>'[1]Summary for IPSIS'!$H$89+'[1]Summary for IPSIS'!$I$89</f>
        <v>0</v>
      </c>
      <c r="K104" s="215">
        <f>'[1]Summary for IPSIS'!$J$89</f>
        <v>0</v>
      </c>
      <c r="L104" s="90">
        <f t="shared" si="57"/>
        <v>0</v>
      </c>
      <c r="M104" s="215">
        <f>'[1]Summary for IPSIS'!$T$89+'[1]Summary for IPSIS'!$U$89</f>
        <v>0</v>
      </c>
      <c r="N104" s="215">
        <f>'[1]Summary for IPSIS'!$V$89</f>
        <v>0</v>
      </c>
      <c r="O104" s="90">
        <f t="shared" si="58"/>
        <v>0</v>
      </c>
      <c r="P104" s="74">
        <f>'[1]Summary for IPSIS'!$AF$89+'[1]Summary for IPSIS'!$AG$89</f>
        <v>0</v>
      </c>
      <c r="Q104" s="90">
        <f>'[1]Summary for IPSIS'!$AH$89</f>
        <v>0</v>
      </c>
      <c r="R104" s="90">
        <f t="shared" si="59"/>
        <v>0</v>
      </c>
      <c r="S104" s="74">
        <f>'[1]Summary for IPSIS'!$AR$89+'[1]Summary for IPSIS'!$AS$89</f>
        <v>0</v>
      </c>
      <c r="T104" s="90">
        <f>'[1]Summary for IPSIS'!$AT$89</f>
        <v>0</v>
      </c>
      <c r="U104" s="90">
        <f t="shared" si="60"/>
        <v>0</v>
      </c>
      <c r="V104" s="74">
        <f>'[1]Summary for IPSIS'!$BD$89+'[1]Summary for IPSIS'!$BE$89</f>
        <v>4446360</v>
      </c>
      <c r="W104" s="90">
        <f>'[1]Summary for IPSIS'!$BF$89</f>
        <v>0</v>
      </c>
      <c r="X104" s="90">
        <f t="shared" si="61"/>
        <v>4446360</v>
      </c>
      <c r="Y104" s="90">
        <f t="shared" si="62"/>
        <v>4446360</v>
      </c>
      <c r="Z104" s="90">
        <f t="shared" si="63"/>
        <v>0</v>
      </c>
      <c r="AA104" s="90">
        <f t="shared" si="64"/>
        <v>4446360</v>
      </c>
      <c r="AB104" s="74">
        <f>0</f>
        <v>0</v>
      </c>
      <c r="AC104" s="74">
        <f>0</f>
        <v>0</v>
      </c>
      <c r="AD104" s="90">
        <f t="shared" si="65"/>
        <v>0</v>
      </c>
      <c r="AE104" s="74">
        <f>0</f>
        <v>0</v>
      </c>
      <c r="AF104" s="74">
        <f>0</f>
        <v>0</v>
      </c>
      <c r="AG104" s="74"/>
      <c r="AH104" s="82">
        <f t="shared" si="54"/>
        <v>0</v>
      </c>
      <c r="AI104" s="74">
        <f>3876360</f>
        <v>3876360</v>
      </c>
      <c r="AJ104" s="74">
        <f>0</f>
        <v>0</v>
      </c>
      <c r="AK104" s="82">
        <f t="shared" si="55"/>
        <v>3876360</v>
      </c>
      <c r="AL104" s="217">
        <f t="shared" si="56"/>
        <v>-570000</v>
      </c>
    </row>
    <row r="105" spans="2:46" s="6" customFormat="1" ht="30" customHeight="1" thickBot="1">
      <c r="B105" s="58"/>
      <c r="C105" s="65" t="s">
        <v>68</v>
      </c>
      <c r="D105" s="66"/>
      <c r="E105" s="66"/>
      <c r="F105" s="56"/>
      <c r="G105" s="56"/>
      <c r="H105" s="56"/>
      <c r="I105" s="56"/>
      <c r="J105" s="231">
        <f>SUM(J99:J104)</f>
        <v>916800</v>
      </c>
      <c r="K105" s="231">
        <f t="shared" ref="K105:AL105" si="66">SUM(K99:K104)</f>
        <v>0</v>
      </c>
      <c r="L105" s="231">
        <f t="shared" si="66"/>
        <v>916800</v>
      </c>
      <c r="M105" s="231">
        <f t="shared" si="66"/>
        <v>2829600</v>
      </c>
      <c r="N105" s="231">
        <f t="shared" si="66"/>
        <v>0</v>
      </c>
      <c r="O105" s="231">
        <f t="shared" si="66"/>
        <v>2829600</v>
      </c>
      <c r="P105" s="231">
        <f t="shared" si="66"/>
        <v>0</v>
      </c>
      <c r="Q105" s="231">
        <f t="shared" si="66"/>
        <v>0</v>
      </c>
      <c r="R105" s="231">
        <f t="shared" si="66"/>
        <v>0</v>
      </c>
      <c r="S105" s="231">
        <f t="shared" si="66"/>
        <v>0</v>
      </c>
      <c r="T105" s="231">
        <f t="shared" si="66"/>
        <v>0</v>
      </c>
      <c r="U105" s="231">
        <f t="shared" si="66"/>
        <v>0</v>
      </c>
      <c r="V105" s="231">
        <f t="shared" si="66"/>
        <v>13979676.800000001</v>
      </c>
      <c r="W105" s="231">
        <f t="shared" si="66"/>
        <v>0</v>
      </c>
      <c r="X105" s="231">
        <f t="shared" si="66"/>
        <v>13979676.800000001</v>
      </c>
      <c r="Y105" s="231">
        <f t="shared" si="66"/>
        <v>17726076.800000001</v>
      </c>
      <c r="Z105" s="231">
        <f t="shared" si="66"/>
        <v>0</v>
      </c>
      <c r="AA105" s="231">
        <f t="shared" si="66"/>
        <v>17726076.800000001</v>
      </c>
      <c r="AB105" s="231">
        <f t="shared" si="66"/>
        <v>0</v>
      </c>
      <c r="AC105" s="231">
        <f t="shared" si="66"/>
        <v>0</v>
      </c>
      <c r="AD105" s="231">
        <f t="shared" si="66"/>
        <v>0</v>
      </c>
      <c r="AE105" s="231">
        <f t="shared" si="66"/>
        <v>0</v>
      </c>
      <c r="AF105" s="231">
        <f t="shared" si="66"/>
        <v>0</v>
      </c>
      <c r="AG105" s="231">
        <f t="shared" si="66"/>
        <v>0</v>
      </c>
      <c r="AH105" s="231">
        <f t="shared" si="66"/>
        <v>0</v>
      </c>
      <c r="AI105" s="231">
        <f t="shared" si="66"/>
        <v>13409677</v>
      </c>
      <c r="AJ105" s="231">
        <f t="shared" si="66"/>
        <v>0</v>
      </c>
      <c r="AK105" s="231">
        <f t="shared" si="66"/>
        <v>13409677</v>
      </c>
      <c r="AL105" s="232">
        <f t="shared" si="66"/>
        <v>-4316399.8</v>
      </c>
      <c r="AM105" s="36"/>
      <c r="AN105" s="36"/>
      <c r="AO105" s="36"/>
      <c r="AP105" s="36"/>
      <c r="AQ105" s="36"/>
      <c r="AR105" s="36"/>
      <c r="AS105" s="36"/>
      <c r="AT105" s="36"/>
    </row>
    <row r="106" spans="2:46" ht="55.8" customHeight="1">
      <c r="B106" s="227">
        <v>2.2999999999999998</v>
      </c>
      <c r="C106" s="283" t="s">
        <v>138</v>
      </c>
      <c r="D106" s="284"/>
      <c r="E106" s="208"/>
      <c r="F106" s="75"/>
      <c r="G106" s="75"/>
      <c r="H106" s="81"/>
      <c r="I106" s="81"/>
      <c r="J106" s="80"/>
      <c r="K106" s="80"/>
      <c r="L106" s="78"/>
      <c r="M106" s="80"/>
      <c r="N106" s="80"/>
      <c r="O106" s="78"/>
      <c r="P106" s="80"/>
      <c r="Q106" s="78"/>
      <c r="R106" s="78"/>
      <c r="S106" s="80"/>
      <c r="T106" s="78"/>
      <c r="U106" s="78"/>
      <c r="V106" s="80"/>
      <c r="W106" s="78"/>
      <c r="X106" s="78"/>
      <c r="Y106" s="78"/>
      <c r="Z106" s="78"/>
      <c r="AA106" s="78"/>
      <c r="AB106" s="80"/>
      <c r="AC106" s="78"/>
      <c r="AD106" s="78"/>
      <c r="AE106" s="80"/>
      <c r="AF106" s="78"/>
      <c r="AG106" s="78"/>
      <c r="AH106" s="78"/>
      <c r="AI106" s="80"/>
      <c r="AJ106" s="78"/>
      <c r="AK106" s="78"/>
      <c r="AL106" s="79"/>
    </row>
    <row r="107" spans="2:46" ht="28.8" customHeight="1">
      <c r="B107" s="47"/>
      <c r="C107" s="113" t="s">
        <v>141</v>
      </c>
      <c r="D107" s="60"/>
      <c r="E107" s="60"/>
      <c r="F107" s="18"/>
      <c r="G107" s="18"/>
      <c r="H107" s="15"/>
      <c r="I107" s="15"/>
      <c r="J107" s="34"/>
      <c r="K107" s="34"/>
      <c r="L107" s="39"/>
      <c r="M107" s="34"/>
      <c r="N107" s="34"/>
      <c r="O107" s="39"/>
      <c r="P107" s="34"/>
      <c r="Q107" s="39"/>
      <c r="R107" s="39"/>
      <c r="S107" s="34"/>
      <c r="T107" s="39"/>
      <c r="U107" s="39"/>
      <c r="V107" s="34"/>
      <c r="W107" s="39"/>
      <c r="X107" s="39"/>
      <c r="Y107" s="39"/>
      <c r="Z107" s="39"/>
      <c r="AA107" s="39"/>
      <c r="AB107" s="34"/>
      <c r="AC107" s="39"/>
      <c r="AD107" s="39"/>
      <c r="AE107" s="34"/>
      <c r="AF107" s="39"/>
      <c r="AG107" s="39"/>
      <c r="AH107" s="39"/>
      <c r="AI107" s="34"/>
      <c r="AJ107" s="39"/>
      <c r="AK107" s="39"/>
      <c r="AL107" s="40"/>
    </row>
    <row r="108" spans="2:46" ht="45.6" customHeight="1">
      <c r="B108" s="48" t="s">
        <v>23</v>
      </c>
      <c r="C108" s="186" t="s">
        <v>383</v>
      </c>
      <c r="D108" s="49"/>
      <c r="E108" s="187" t="s">
        <v>428</v>
      </c>
      <c r="F108" s="10" t="s">
        <v>377</v>
      </c>
      <c r="G108" s="10" t="s">
        <v>168</v>
      </c>
      <c r="H108" s="114">
        <v>2025</v>
      </c>
      <c r="I108" s="114">
        <v>2025</v>
      </c>
      <c r="J108" s="34">
        <f>'[1]Summary for IPSIS'!$H$91+'[1]Summary for IPSIS'!$I$91</f>
        <v>0</v>
      </c>
      <c r="K108" s="39">
        <f>'[1]Summary for IPSIS'!$J$91</f>
        <v>0</v>
      </c>
      <c r="L108" s="39">
        <f>J108+K108</f>
        <v>0</v>
      </c>
      <c r="M108" s="34">
        <f>'[1]Summary for IPSIS'!$T$91+'[1]Summary for IPSIS'!$U$91</f>
        <v>0</v>
      </c>
      <c r="N108" s="39">
        <f>'[1]Summary for IPSIS'!$V$91</f>
        <v>0</v>
      </c>
      <c r="O108" s="39">
        <f>M108+N108</f>
        <v>0</v>
      </c>
      <c r="P108" s="34">
        <f>'[1]Summary for IPSIS'!$AF$91+'[1]Summary for IPSIS'!$AG$91</f>
        <v>0</v>
      </c>
      <c r="Q108" s="39">
        <f>'[1]Summary for IPSIS'!$AH$91</f>
        <v>0</v>
      </c>
      <c r="R108" s="39">
        <f>P108+Q108</f>
        <v>0</v>
      </c>
      <c r="S108" s="34">
        <f>'[1]Summary for IPSIS'!$AR$91+'[1]Summary for IPSIS'!$AS$91</f>
        <v>0</v>
      </c>
      <c r="T108" s="39">
        <f>'[1]Summary for IPSIS'!$AT$91</f>
        <v>0</v>
      </c>
      <c r="U108" s="39">
        <f>S108+T108</f>
        <v>0</v>
      </c>
      <c r="V108" s="34">
        <f>'[1]Summary for IPSIS'!$BD$91+'[1]Summary for IPSIS'!$BE$91</f>
        <v>9196880</v>
      </c>
      <c r="W108" s="39">
        <f>'[1]Summary for IPSIS'!$BF$91</f>
        <v>0</v>
      </c>
      <c r="X108" s="39">
        <f>V108+W108</f>
        <v>9196880</v>
      </c>
      <c r="Y108" s="39">
        <f>J108+M108+P108+S108+V108</f>
        <v>9196880</v>
      </c>
      <c r="Z108" s="39">
        <f>K108+N108+Q108+T108+W108</f>
        <v>0</v>
      </c>
      <c r="AA108" s="39">
        <f>Y108+Z108</f>
        <v>9196880</v>
      </c>
      <c r="AB108" s="34">
        <f>0</f>
        <v>0</v>
      </c>
      <c r="AC108" s="39">
        <f>0</f>
        <v>0</v>
      </c>
      <c r="AD108" s="39">
        <f>AB108+AC108</f>
        <v>0</v>
      </c>
      <c r="AE108" s="34">
        <f>0</f>
        <v>0</v>
      </c>
      <c r="AF108" s="39">
        <f>0</f>
        <v>0</v>
      </c>
      <c r="AG108" s="39"/>
      <c r="AH108" s="39">
        <f>+AF108</f>
        <v>0</v>
      </c>
      <c r="AI108" s="34">
        <f>9196880</f>
        <v>9196880</v>
      </c>
      <c r="AJ108" s="39">
        <f>0</f>
        <v>0</v>
      </c>
      <c r="AK108" s="39">
        <f>AI108+AJ108</f>
        <v>9196880</v>
      </c>
      <c r="AL108" s="210">
        <f t="shared" ref="AL108:AL113" si="67">SUM(AK108+AH108+AD108)-AA108</f>
        <v>0</v>
      </c>
    </row>
    <row r="109" spans="2:46" ht="38.4" customHeight="1">
      <c r="B109" s="48" t="s">
        <v>24</v>
      </c>
      <c r="C109" s="188" t="s">
        <v>384</v>
      </c>
      <c r="D109" s="46"/>
      <c r="E109" s="189" t="s">
        <v>663</v>
      </c>
      <c r="F109" s="10" t="s">
        <v>385</v>
      </c>
      <c r="G109" s="10"/>
      <c r="H109" s="114">
        <v>2021</v>
      </c>
      <c r="I109" s="114">
        <v>2025</v>
      </c>
      <c r="J109" s="34">
        <f>'[1]Summary for IPSIS'!$H$92+'[1]Summary for IPSIS'!$I$92</f>
        <v>316736</v>
      </c>
      <c r="K109" s="39">
        <f>'[1]Summary for IPSIS'!$J$92</f>
        <v>0</v>
      </c>
      <c r="L109" s="39">
        <f t="shared" ref="L109:L113" si="68">J109+K109</f>
        <v>316736</v>
      </c>
      <c r="M109" s="34">
        <f>'[1]Summary for IPSIS'!$T$92+'[1]Summary for IPSIS'!$U$92</f>
        <v>316736</v>
      </c>
      <c r="N109" s="39">
        <f>'[1]Summary for IPSIS'!$V$92</f>
        <v>0</v>
      </c>
      <c r="O109" s="39">
        <f t="shared" ref="O109:O113" si="69">M109+N109</f>
        <v>316736</v>
      </c>
      <c r="P109" s="34">
        <f>'[1]Summary for IPSIS'!$AF$92+'[1]Summary for IPSIS'!$AG$92</f>
        <v>316736</v>
      </c>
      <c r="Q109" s="39">
        <f>'[1]Summary for IPSIS'!$AH$92</f>
        <v>0</v>
      </c>
      <c r="R109" s="39">
        <f t="shared" ref="R109:R113" si="70">P109+Q109</f>
        <v>316736</v>
      </c>
      <c r="S109" s="34">
        <f>'[1]Summary for IPSIS'!$AR$92+'[1]Summary for IPSIS'!$AS$92</f>
        <v>316736</v>
      </c>
      <c r="T109" s="39">
        <f>'[1]Summary for IPSIS'!$AT$92</f>
        <v>0</v>
      </c>
      <c r="U109" s="39">
        <f t="shared" ref="U109:U113" si="71">S109+T109</f>
        <v>316736</v>
      </c>
      <c r="V109" s="34">
        <f>'[1]Summary for IPSIS'!$BD$92+'[1]Summary for IPSIS'!$BE$92</f>
        <v>316736</v>
      </c>
      <c r="W109" s="39">
        <f>'[1]Summary for IPSIS'!$BF$92</f>
        <v>0</v>
      </c>
      <c r="X109" s="39">
        <f t="shared" ref="X109:X113" si="72">V109+W109</f>
        <v>316736</v>
      </c>
      <c r="Y109" s="39">
        <f t="shared" ref="Y109:Y113" si="73">J109+M109+P109+S109+V109</f>
        <v>1583680</v>
      </c>
      <c r="Z109" s="39">
        <f t="shared" ref="Z109:Z113" si="74">K109+N109+Q109+T109+W109</f>
        <v>0</v>
      </c>
      <c r="AA109" s="39">
        <f t="shared" ref="AA109:AA113" si="75">Y109+Z109</f>
        <v>1583680</v>
      </c>
      <c r="AB109" s="34">
        <f>316736+316736+316736</f>
        <v>950208</v>
      </c>
      <c r="AC109" s="39">
        <f>0</f>
        <v>0</v>
      </c>
      <c r="AD109" s="39">
        <f t="shared" ref="AD109:AD113" si="76">AB109+AC109</f>
        <v>950208</v>
      </c>
      <c r="AE109" s="41">
        <f>0</f>
        <v>0</v>
      </c>
      <c r="AF109" s="39">
        <f>0</f>
        <v>0</v>
      </c>
      <c r="AG109" s="39"/>
      <c r="AH109" s="39">
        <f t="shared" ref="AH109:AH113" si="77">+AF109</f>
        <v>0</v>
      </c>
      <c r="AI109" s="34">
        <f>316736+316736</f>
        <v>633472</v>
      </c>
      <c r="AJ109" s="39">
        <f>0</f>
        <v>0</v>
      </c>
      <c r="AK109" s="39">
        <f t="shared" ref="AK109:AK113" si="78">AI109+AJ109</f>
        <v>633472</v>
      </c>
      <c r="AL109" s="210">
        <f t="shared" si="67"/>
        <v>0</v>
      </c>
    </row>
    <row r="110" spans="2:46" ht="36">
      <c r="B110" s="48" t="s">
        <v>379</v>
      </c>
      <c r="C110" s="188" t="s">
        <v>386</v>
      </c>
      <c r="D110" s="46"/>
      <c r="E110" s="189" t="s">
        <v>663</v>
      </c>
      <c r="F110" s="10" t="s">
        <v>387</v>
      </c>
      <c r="G110" s="10" t="s">
        <v>168</v>
      </c>
      <c r="H110" s="114">
        <v>2023</v>
      </c>
      <c r="I110" s="114">
        <v>2023</v>
      </c>
      <c r="J110" s="34">
        <f>'[1]Summary for IPSIS'!$H$93+'[1]Summary for IPSIS'!$I$93</f>
        <v>0</v>
      </c>
      <c r="K110" s="39">
        <f>'[1]Summary for IPSIS'!$J$93</f>
        <v>0</v>
      </c>
      <c r="L110" s="39">
        <f t="shared" si="68"/>
        <v>0</v>
      </c>
      <c r="M110" s="34">
        <f>'[1]Summary for IPSIS'!$T$93+'[1]Summary for IPSIS'!$U$93</f>
        <v>0</v>
      </c>
      <c r="N110" s="39">
        <f>'[1]Summary for IPSIS'!$V$93</f>
        <v>0</v>
      </c>
      <c r="O110" s="39">
        <f t="shared" si="69"/>
        <v>0</v>
      </c>
      <c r="P110" s="34">
        <f>'[1]Summary for IPSIS'!$AF$93+'[1]Summary for IPSIS'!$AG$93</f>
        <v>0</v>
      </c>
      <c r="Q110" s="39">
        <f>'[1]Summary for IPSIS'!$AH$93</f>
        <v>20700000</v>
      </c>
      <c r="R110" s="39">
        <f t="shared" si="70"/>
        <v>20700000</v>
      </c>
      <c r="S110" s="34">
        <f>'[1]Summary for IPSIS'!$AR$93+'[1]Summary for IPSIS'!$AS$93</f>
        <v>0</v>
      </c>
      <c r="T110" s="39">
        <f>'[1]Summary for IPSIS'!$AT$93</f>
        <v>41400000</v>
      </c>
      <c r="U110" s="39">
        <f t="shared" si="71"/>
        <v>41400000</v>
      </c>
      <c r="V110" s="34">
        <f>'[1]Summary for IPSIS'!$BD$93+'[1]Summary for IPSIS'!$BE$93</f>
        <v>0</v>
      </c>
      <c r="W110" s="39">
        <f>'[1]Summary for IPSIS'!$BF$93</f>
        <v>62100000</v>
      </c>
      <c r="X110" s="39">
        <f t="shared" si="72"/>
        <v>62100000</v>
      </c>
      <c r="Y110" s="39">
        <f t="shared" si="73"/>
        <v>0</v>
      </c>
      <c r="Z110" s="39">
        <f t="shared" si="74"/>
        <v>124200000</v>
      </c>
      <c r="AA110" s="39">
        <f t="shared" si="75"/>
        <v>124200000</v>
      </c>
      <c r="AB110" s="41">
        <f>0</f>
        <v>0</v>
      </c>
      <c r="AC110" s="37">
        <f>0</f>
        <v>0</v>
      </c>
      <c r="AD110" s="39">
        <f t="shared" si="76"/>
        <v>0</v>
      </c>
      <c r="AE110" s="41">
        <f>0</f>
        <v>0</v>
      </c>
      <c r="AF110" s="37">
        <f>0</f>
        <v>0</v>
      </c>
      <c r="AG110" s="39"/>
      <c r="AH110" s="39">
        <f t="shared" si="77"/>
        <v>0</v>
      </c>
      <c r="AI110" s="34">
        <f>41400000+62100000</f>
        <v>103500000</v>
      </c>
      <c r="AJ110" s="39">
        <f>0</f>
        <v>0</v>
      </c>
      <c r="AK110" s="39">
        <f t="shared" si="78"/>
        <v>103500000</v>
      </c>
      <c r="AL110" s="210">
        <f t="shared" si="67"/>
        <v>-20700000</v>
      </c>
    </row>
    <row r="111" spans="2:46" ht="40.799999999999997" customHeight="1">
      <c r="B111" s="48" t="s">
        <v>380</v>
      </c>
      <c r="C111" s="195" t="s">
        <v>388</v>
      </c>
      <c r="D111" s="46"/>
      <c r="E111" s="189" t="s">
        <v>663</v>
      </c>
      <c r="F111" s="10" t="s">
        <v>389</v>
      </c>
      <c r="G111" s="10"/>
      <c r="H111" s="114">
        <v>2023</v>
      </c>
      <c r="I111" s="114">
        <v>2023</v>
      </c>
      <c r="J111" s="34">
        <f>'[1]Summary for IPSIS'!$H$94+'[1]Summary for IPSIS'!$I$94</f>
        <v>0</v>
      </c>
      <c r="K111" s="39">
        <f>'[1]Summary for IPSIS'!$J$94</f>
        <v>0</v>
      </c>
      <c r="L111" s="39">
        <f t="shared" si="68"/>
        <v>0</v>
      </c>
      <c r="M111" s="34">
        <f>'[1]Summary for IPSIS'!$T$94+'[1]Summary for IPSIS'!$U$94</f>
        <v>0</v>
      </c>
      <c r="N111" s="39">
        <f>'[1]Summary for IPSIS'!$V$94</f>
        <v>0</v>
      </c>
      <c r="O111" s="39">
        <f t="shared" si="69"/>
        <v>0</v>
      </c>
      <c r="P111" s="34">
        <f>'[1]Summary for IPSIS'!$AF$94+'[1]Summary for IPSIS'!$AG$94</f>
        <v>6651456</v>
      </c>
      <c r="Q111" s="39">
        <f>'[1]Summary for IPSIS'!$AH$94</f>
        <v>0</v>
      </c>
      <c r="R111" s="39">
        <f t="shared" si="70"/>
        <v>6651456</v>
      </c>
      <c r="S111" s="34">
        <f>'[1]Summary for IPSIS'!$AR$94+'[1]Summary for IPSIS'!$AS$94</f>
        <v>6651456</v>
      </c>
      <c r="T111" s="39">
        <f>'[1]Summary for IPSIS'!$AT$94</f>
        <v>0</v>
      </c>
      <c r="U111" s="39">
        <f t="shared" si="71"/>
        <v>6651456</v>
      </c>
      <c r="V111" s="34">
        <f>'[1]Summary for IPSIS'!$BD$94+'[1]Summary for IPSIS'!$BE$94</f>
        <v>6651456</v>
      </c>
      <c r="W111" s="39">
        <f>'[1]Summary for IPSIS'!$BF$94</f>
        <v>0</v>
      </c>
      <c r="X111" s="39">
        <f t="shared" si="72"/>
        <v>6651456</v>
      </c>
      <c r="Y111" s="39">
        <f t="shared" si="73"/>
        <v>19954368</v>
      </c>
      <c r="Z111" s="39">
        <f t="shared" si="74"/>
        <v>0</v>
      </c>
      <c r="AA111" s="39">
        <f t="shared" si="75"/>
        <v>19954368</v>
      </c>
      <c r="AB111" s="41">
        <f>0</f>
        <v>0</v>
      </c>
      <c r="AC111" s="37">
        <f>0</f>
        <v>0</v>
      </c>
      <c r="AD111" s="39">
        <f t="shared" si="76"/>
        <v>0</v>
      </c>
      <c r="AE111" s="41">
        <f>0</f>
        <v>0</v>
      </c>
      <c r="AF111" s="37">
        <f>0</f>
        <v>0</v>
      </c>
      <c r="AG111" s="39"/>
      <c r="AH111" s="39">
        <f t="shared" si="77"/>
        <v>0</v>
      </c>
      <c r="AI111" s="34">
        <f>6651456+6651456</f>
        <v>13302912</v>
      </c>
      <c r="AJ111" s="39">
        <f>0</f>
        <v>0</v>
      </c>
      <c r="AK111" s="39">
        <f t="shared" si="78"/>
        <v>13302912</v>
      </c>
      <c r="AL111" s="210">
        <f t="shared" si="67"/>
        <v>-6651456</v>
      </c>
    </row>
    <row r="112" spans="2:46" ht="48" customHeight="1">
      <c r="B112" s="48" t="s">
        <v>381</v>
      </c>
      <c r="C112" s="186" t="s">
        <v>390</v>
      </c>
      <c r="D112" s="46"/>
      <c r="E112" s="189" t="s">
        <v>664</v>
      </c>
      <c r="F112" s="10" t="s">
        <v>389</v>
      </c>
      <c r="G112" s="10"/>
      <c r="H112" s="114">
        <v>2023</v>
      </c>
      <c r="I112" s="114">
        <v>2023</v>
      </c>
      <c r="J112" s="34">
        <f>'[1]Summary for IPSIS'!$H$95+'[1]Summary for IPSIS'!$I$95</f>
        <v>0</v>
      </c>
      <c r="K112" s="39">
        <f>'[1]Summary for IPSIS'!$J$95</f>
        <v>0</v>
      </c>
      <c r="L112" s="39">
        <f t="shared" si="68"/>
        <v>0</v>
      </c>
      <c r="M112" s="34">
        <f>'[1]Summary for IPSIS'!$T$95+'[1]Summary for IPSIS'!$U$95</f>
        <v>0</v>
      </c>
      <c r="N112" s="39">
        <f>'[1]Summary for IPSIS'!$V$95</f>
        <v>0</v>
      </c>
      <c r="O112" s="39">
        <f t="shared" si="69"/>
        <v>0</v>
      </c>
      <c r="P112" s="34">
        <f>'[1]Summary for IPSIS'!$AF$95+'[1]Summary for IPSIS'!$AG$95</f>
        <v>1085280</v>
      </c>
      <c r="Q112" s="39">
        <f>'[1]Summary for IPSIS'!$AH$95</f>
        <v>0</v>
      </c>
      <c r="R112" s="39">
        <f t="shared" si="70"/>
        <v>1085280</v>
      </c>
      <c r="S112" s="34">
        <f>'[1]Summary for IPSIS'!$AR$95+'[1]Summary for IPSIS'!$AS$95</f>
        <v>3325728</v>
      </c>
      <c r="T112" s="39">
        <f>'[1]Summary for IPSIS'!$AT$95</f>
        <v>0</v>
      </c>
      <c r="U112" s="39">
        <f t="shared" si="71"/>
        <v>3325728</v>
      </c>
      <c r="V112" s="34">
        <f>'[1]Summary for IPSIS'!$BD$95+'[1]Summary for IPSIS'!$BE$95</f>
        <v>3325728</v>
      </c>
      <c r="W112" s="39">
        <f>'[1]Summary for IPSIS'!$BF$95</f>
        <v>0</v>
      </c>
      <c r="X112" s="39">
        <f t="shared" si="72"/>
        <v>3325728</v>
      </c>
      <c r="Y112" s="39">
        <f t="shared" si="73"/>
        <v>7736736</v>
      </c>
      <c r="Z112" s="39">
        <f t="shared" si="74"/>
        <v>0</v>
      </c>
      <c r="AA112" s="39">
        <f t="shared" si="75"/>
        <v>7736736</v>
      </c>
      <c r="AB112" s="41">
        <f>0+0+1085280</f>
        <v>1085280</v>
      </c>
      <c r="AC112" s="37">
        <f>0</f>
        <v>0</v>
      </c>
      <c r="AD112" s="39">
        <f t="shared" si="76"/>
        <v>1085280</v>
      </c>
      <c r="AE112" s="41">
        <f>0</f>
        <v>0</v>
      </c>
      <c r="AF112" s="37">
        <f>0</f>
        <v>0</v>
      </c>
      <c r="AG112" s="39"/>
      <c r="AH112" s="39">
        <f t="shared" si="77"/>
        <v>0</v>
      </c>
      <c r="AI112" s="34">
        <f>3325728+3325728</f>
        <v>6651456</v>
      </c>
      <c r="AJ112" s="39">
        <f>0</f>
        <v>0</v>
      </c>
      <c r="AK112" s="39">
        <f t="shared" si="78"/>
        <v>6651456</v>
      </c>
      <c r="AL112" s="210">
        <f t="shared" si="67"/>
        <v>0</v>
      </c>
    </row>
    <row r="113" spans="2:46" s="23" customFormat="1" ht="37.200000000000003" customHeight="1" thickBot="1">
      <c r="B113" s="233" t="s">
        <v>382</v>
      </c>
      <c r="C113" s="211" t="s">
        <v>665</v>
      </c>
      <c r="D113" s="229"/>
      <c r="E113" s="213" t="s">
        <v>663</v>
      </c>
      <c r="F113" s="76" t="s">
        <v>389</v>
      </c>
      <c r="G113" s="76" t="s">
        <v>168</v>
      </c>
      <c r="H113" s="9">
        <v>2023</v>
      </c>
      <c r="I113" s="9">
        <v>2023</v>
      </c>
      <c r="J113" s="234">
        <f>'[1]Summary for IPSIS'!$H$96+'[1]Summary for IPSIS'!$I$96</f>
        <v>0</v>
      </c>
      <c r="K113" s="82">
        <f>'[1]Summary for IPSIS'!$J$96</f>
        <v>0</v>
      </c>
      <c r="L113" s="82">
        <f t="shared" si="68"/>
        <v>0</v>
      </c>
      <c r="M113" s="234">
        <f>'[1]Summary for IPSIS'!$T$96+'[1]Summary for IPSIS'!$U$96</f>
        <v>0</v>
      </c>
      <c r="N113" s="82">
        <f>'[1]Summary for IPSIS'!$V$96</f>
        <v>0</v>
      </c>
      <c r="O113" s="82">
        <f t="shared" si="69"/>
        <v>0</v>
      </c>
      <c r="P113" s="234">
        <f>'[1]Summary for IPSIS'!$AF$96+'[1]Summary for IPSIS'!$AG$96</f>
        <v>1096800</v>
      </c>
      <c r="Q113" s="82">
        <f>'[1]Summary for IPSIS'!$AH$96</f>
        <v>0</v>
      </c>
      <c r="R113" s="82">
        <f t="shared" si="70"/>
        <v>1096800</v>
      </c>
      <c r="S113" s="234">
        <f>'[1]Summary for IPSIS'!$AR$96+'[1]Summary for IPSIS'!$AS$96</f>
        <v>1140000</v>
      </c>
      <c r="T113" s="82">
        <f>'[1]Summary for IPSIS'!$AT$96</f>
        <v>0</v>
      </c>
      <c r="U113" s="82">
        <f t="shared" si="71"/>
        <v>1140000</v>
      </c>
      <c r="V113" s="234">
        <f>'[1]Summary for IPSIS'!$BD$96+'[1]Summary for IPSIS'!$BE$96</f>
        <v>950000</v>
      </c>
      <c r="W113" s="82">
        <f>'[1]Summary for IPSIS'!$BF$96</f>
        <v>0</v>
      </c>
      <c r="X113" s="82">
        <f t="shared" si="72"/>
        <v>950000</v>
      </c>
      <c r="Y113" s="82">
        <f t="shared" si="73"/>
        <v>3186800</v>
      </c>
      <c r="Z113" s="82">
        <f t="shared" si="74"/>
        <v>0</v>
      </c>
      <c r="AA113" s="82">
        <f t="shared" si="75"/>
        <v>3186800</v>
      </c>
      <c r="AB113" s="74">
        <f>0</f>
        <v>0</v>
      </c>
      <c r="AC113" s="74">
        <f>0</f>
        <v>0</v>
      </c>
      <c r="AD113" s="82">
        <f t="shared" si="76"/>
        <v>0</v>
      </c>
      <c r="AE113" s="74">
        <f>0</f>
        <v>0</v>
      </c>
      <c r="AF113" s="74">
        <f>0</f>
        <v>0</v>
      </c>
      <c r="AG113" s="234"/>
      <c r="AH113" s="82">
        <f t="shared" si="77"/>
        <v>0</v>
      </c>
      <c r="AI113" s="234">
        <f>950000</f>
        <v>950000</v>
      </c>
      <c r="AJ113" s="234">
        <f>0</f>
        <v>0</v>
      </c>
      <c r="AK113" s="82">
        <f t="shared" si="78"/>
        <v>950000</v>
      </c>
      <c r="AL113" s="217">
        <f t="shared" si="67"/>
        <v>-2236800</v>
      </c>
    </row>
    <row r="114" spans="2:46" s="6" customFormat="1" ht="36" customHeight="1" thickBot="1">
      <c r="B114" s="58"/>
      <c r="C114" s="65" t="s">
        <v>69</v>
      </c>
      <c r="D114" s="66"/>
      <c r="E114" s="66"/>
      <c r="F114" s="56"/>
      <c r="G114" s="56"/>
      <c r="H114" s="56"/>
      <c r="I114" s="56"/>
      <c r="J114" s="57">
        <f>SUM(J108:J113)</f>
        <v>316736</v>
      </c>
      <c r="K114" s="57">
        <f t="shared" ref="K114:AL114" si="79">SUM(K108:K113)</f>
        <v>0</v>
      </c>
      <c r="L114" s="57">
        <f t="shared" si="79"/>
        <v>316736</v>
      </c>
      <c r="M114" s="57">
        <f t="shared" si="79"/>
        <v>316736</v>
      </c>
      <c r="N114" s="57">
        <f t="shared" si="79"/>
        <v>0</v>
      </c>
      <c r="O114" s="57">
        <f t="shared" si="79"/>
        <v>316736</v>
      </c>
      <c r="P114" s="57">
        <f t="shared" si="79"/>
        <v>9150272</v>
      </c>
      <c r="Q114" s="57">
        <f t="shared" si="79"/>
        <v>20700000</v>
      </c>
      <c r="R114" s="57">
        <f t="shared" si="79"/>
        <v>29850272</v>
      </c>
      <c r="S114" s="57">
        <f t="shared" si="79"/>
        <v>11433920</v>
      </c>
      <c r="T114" s="57">
        <f t="shared" si="79"/>
        <v>41400000</v>
      </c>
      <c r="U114" s="57">
        <f t="shared" si="79"/>
        <v>52833920</v>
      </c>
      <c r="V114" s="57">
        <f t="shared" si="79"/>
        <v>20440800</v>
      </c>
      <c r="W114" s="57">
        <f t="shared" si="79"/>
        <v>62100000</v>
      </c>
      <c r="X114" s="57">
        <f t="shared" si="79"/>
        <v>82540800</v>
      </c>
      <c r="Y114" s="57">
        <f t="shared" si="79"/>
        <v>41658464</v>
      </c>
      <c r="Z114" s="57">
        <f t="shared" si="79"/>
        <v>124200000</v>
      </c>
      <c r="AA114" s="57">
        <f t="shared" si="79"/>
        <v>165858464</v>
      </c>
      <c r="AB114" s="57">
        <f t="shared" si="79"/>
        <v>2035488</v>
      </c>
      <c r="AC114" s="57">
        <f t="shared" si="79"/>
        <v>0</v>
      </c>
      <c r="AD114" s="57">
        <f t="shared" si="79"/>
        <v>2035488</v>
      </c>
      <c r="AE114" s="57">
        <f t="shared" si="79"/>
        <v>0</v>
      </c>
      <c r="AF114" s="57">
        <f t="shared" si="79"/>
        <v>0</v>
      </c>
      <c r="AG114" s="57">
        <f t="shared" si="79"/>
        <v>0</v>
      </c>
      <c r="AH114" s="57">
        <f t="shared" si="79"/>
        <v>0</v>
      </c>
      <c r="AI114" s="57">
        <f t="shared" si="79"/>
        <v>134234720</v>
      </c>
      <c r="AJ114" s="57">
        <f t="shared" si="79"/>
        <v>0</v>
      </c>
      <c r="AK114" s="57">
        <f t="shared" si="79"/>
        <v>134234720</v>
      </c>
      <c r="AL114" s="218">
        <f t="shared" si="79"/>
        <v>-29588256</v>
      </c>
      <c r="AM114" s="36"/>
      <c r="AN114" s="36"/>
      <c r="AO114" s="36"/>
      <c r="AP114" s="36"/>
      <c r="AQ114" s="36"/>
      <c r="AR114" s="36"/>
      <c r="AS114" s="36"/>
      <c r="AT114" s="36"/>
    </row>
    <row r="115" spans="2:46" s="6" customFormat="1" ht="31.8" customHeight="1" thickBot="1">
      <c r="B115" s="58"/>
      <c r="C115" s="285" t="s">
        <v>749</v>
      </c>
      <c r="D115" s="286"/>
      <c r="E115" s="185"/>
      <c r="F115" s="56"/>
      <c r="G115" s="56"/>
      <c r="H115" s="56"/>
      <c r="I115" s="56"/>
      <c r="J115" s="57">
        <f>J96+J105+J114</f>
        <v>3514476</v>
      </c>
      <c r="K115" s="57">
        <f t="shared" ref="K115:AL115" si="80">K96+K105+K114</f>
        <v>575000</v>
      </c>
      <c r="L115" s="57">
        <f t="shared" si="80"/>
        <v>4089476</v>
      </c>
      <c r="M115" s="57">
        <f t="shared" si="80"/>
        <v>5272606</v>
      </c>
      <c r="N115" s="57">
        <f t="shared" si="80"/>
        <v>575000</v>
      </c>
      <c r="O115" s="57">
        <f t="shared" si="80"/>
        <v>5847606</v>
      </c>
      <c r="P115" s="57">
        <f t="shared" si="80"/>
        <v>27628920.800000001</v>
      </c>
      <c r="Q115" s="57">
        <f t="shared" si="80"/>
        <v>20700000</v>
      </c>
      <c r="R115" s="57">
        <f t="shared" si="80"/>
        <v>48328920.799999997</v>
      </c>
      <c r="S115" s="57">
        <f t="shared" si="80"/>
        <v>13833536</v>
      </c>
      <c r="T115" s="57">
        <f t="shared" si="80"/>
        <v>41400000</v>
      </c>
      <c r="U115" s="57">
        <f t="shared" si="80"/>
        <v>55233536</v>
      </c>
      <c r="V115" s="57">
        <f t="shared" si="80"/>
        <v>40280828.799999997</v>
      </c>
      <c r="W115" s="57">
        <f t="shared" si="80"/>
        <v>62445000</v>
      </c>
      <c r="X115" s="57">
        <f t="shared" si="80"/>
        <v>102725828.8</v>
      </c>
      <c r="Y115" s="57">
        <f t="shared" si="80"/>
        <v>90530367.599999994</v>
      </c>
      <c r="Z115" s="57">
        <f t="shared" si="80"/>
        <v>125695000</v>
      </c>
      <c r="AA115" s="57">
        <f t="shared" si="80"/>
        <v>216225367.59999999</v>
      </c>
      <c r="AB115" s="57">
        <f t="shared" si="80"/>
        <v>2499498</v>
      </c>
      <c r="AC115" s="57">
        <f t="shared" si="80"/>
        <v>1150000</v>
      </c>
      <c r="AD115" s="57">
        <f t="shared" si="80"/>
        <v>3649498</v>
      </c>
      <c r="AE115" s="57">
        <f t="shared" si="80"/>
        <v>8884848</v>
      </c>
      <c r="AF115" s="57">
        <f t="shared" si="80"/>
        <v>0</v>
      </c>
      <c r="AG115" s="57">
        <f t="shared" si="80"/>
        <v>0</v>
      </c>
      <c r="AH115" s="57">
        <f t="shared" si="80"/>
        <v>8884848</v>
      </c>
      <c r="AI115" s="57">
        <f t="shared" si="80"/>
        <v>150725133</v>
      </c>
      <c r="AJ115" s="57">
        <f t="shared" si="80"/>
        <v>345000</v>
      </c>
      <c r="AK115" s="57">
        <f t="shared" si="80"/>
        <v>151070133</v>
      </c>
      <c r="AL115" s="218">
        <f t="shared" si="80"/>
        <v>-52620888.600000001</v>
      </c>
      <c r="AM115" s="36"/>
      <c r="AN115" s="36"/>
      <c r="AO115" s="36"/>
      <c r="AP115" s="36"/>
      <c r="AQ115" s="36"/>
      <c r="AR115" s="36"/>
      <c r="AS115" s="36"/>
      <c r="AT115" s="36"/>
    </row>
    <row r="116" spans="2:46" s="6" customFormat="1" ht="31.8" customHeight="1" thickBot="1">
      <c r="B116" s="290" t="s">
        <v>139</v>
      </c>
      <c r="C116" s="329"/>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29"/>
      <c r="AD116" s="329"/>
      <c r="AE116" s="329"/>
      <c r="AF116" s="329"/>
      <c r="AG116" s="329"/>
      <c r="AH116" s="329"/>
      <c r="AI116" s="329"/>
      <c r="AJ116" s="329"/>
      <c r="AK116" s="329"/>
      <c r="AL116" s="330"/>
      <c r="AM116" s="118"/>
      <c r="AN116" s="36"/>
      <c r="AO116" s="36"/>
      <c r="AP116" s="36"/>
      <c r="AQ116" s="36"/>
      <c r="AR116" s="36"/>
      <c r="AS116" s="36"/>
      <c r="AT116" s="36"/>
    </row>
    <row r="117" spans="2:46" ht="31.8" customHeight="1" thickBot="1">
      <c r="B117" s="290" t="s">
        <v>775</v>
      </c>
      <c r="C117" s="296"/>
      <c r="D117" s="296"/>
      <c r="E117" s="296"/>
      <c r="F117" s="296"/>
      <c r="G117" s="296"/>
      <c r="H117" s="296"/>
      <c r="I117" s="296"/>
      <c r="J117" s="296"/>
      <c r="K117" s="296"/>
      <c r="L117" s="296"/>
      <c r="M117" s="296"/>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7"/>
    </row>
    <row r="118" spans="2:46" s="6" customFormat="1" ht="31.8" customHeight="1">
      <c r="B118" s="304" t="s">
        <v>0</v>
      </c>
      <c r="C118" s="310" t="s">
        <v>111</v>
      </c>
      <c r="D118" s="310" t="s">
        <v>1</v>
      </c>
      <c r="E118" s="164" t="s">
        <v>112</v>
      </c>
      <c r="F118" s="310" t="s">
        <v>747</v>
      </c>
      <c r="G118" s="310"/>
      <c r="H118" s="298" t="s">
        <v>116</v>
      </c>
      <c r="I118" s="298"/>
      <c r="J118" s="311" t="s">
        <v>119</v>
      </c>
      <c r="K118" s="311"/>
      <c r="L118" s="311"/>
      <c r="M118" s="311" t="s">
        <v>120</v>
      </c>
      <c r="N118" s="311"/>
      <c r="O118" s="311"/>
      <c r="P118" s="311" t="s">
        <v>121</v>
      </c>
      <c r="Q118" s="314"/>
      <c r="R118" s="314"/>
      <c r="S118" s="312" t="s">
        <v>122</v>
      </c>
      <c r="T118" s="312"/>
      <c r="U118" s="312"/>
      <c r="V118" s="312" t="s">
        <v>123</v>
      </c>
      <c r="W118" s="312"/>
      <c r="X118" s="312"/>
      <c r="Y118" s="312" t="s">
        <v>124</v>
      </c>
      <c r="Z118" s="314"/>
      <c r="AA118" s="314"/>
      <c r="AB118" s="311" t="s">
        <v>125</v>
      </c>
      <c r="AC118" s="311"/>
      <c r="AD118" s="311"/>
      <c r="AE118" s="311"/>
      <c r="AF118" s="311"/>
      <c r="AG118" s="311"/>
      <c r="AH118" s="311"/>
      <c r="AI118" s="311" t="s">
        <v>131</v>
      </c>
      <c r="AJ118" s="317"/>
      <c r="AK118" s="317"/>
      <c r="AL118" s="323" t="s">
        <v>132</v>
      </c>
      <c r="AM118" s="36"/>
      <c r="AN118" s="36"/>
      <c r="AO118" s="36"/>
      <c r="AP118" s="36"/>
      <c r="AQ118" s="36"/>
      <c r="AR118" s="36"/>
      <c r="AS118" s="36"/>
      <c r="AT118" s="36"/>
    </row>
    <row r="119" spans="2:46" s="6" customFormat="1" ht="31.8" customHeight="1">
      <c r="B119" s="305"/>
      <c r="C119" s="308"/>
      <c r="D119" s="308"/>
      <c r="E119" s="308" t="s">
        <v>113</v>
      </c>
      <c r="F119" s="318" t="s">
        <v>114</v>
      </c>
      <c r="G119" s="318" t="s">
        <v>115</v>
      </c>
      <c r="H119" s="320" t="s">
        <v>117</v>
      </c>
      <c r="I119" s="320" t="s">
        <v>117</v>
      </c>
      <c r="J119" s="299"/>
      <c r="K119" s="299"/>
      <c r="L119" s="299"/>
      <c r="M119" s="299"/>
      <c r="N119" s="299"/>
      <c r="O119" s="299"/>
      <c r="P119" s="315"/>
      <c r="Q119" s="315"/>
      <c r="R119" s="315"/>
      <c r="S119" s="313"/>
      <c r="T119" s="313"/>
      <c r="U119" s="313"/>
      <c r="V119" s="313"/>
      <c r="W119" s="313"/>
      <c r="X119" s="313"/>
      <c r="Y119" s="315"/>
      <c r="Z119" s="315"/>
      <c r="AA119" s="315"/>
      <c r="AB119" s="299" t="s">
        <v>127</v>
      </c>
      <c r="AC119" s="300"/>
      <c r="AD119" s="300"/>
      <c r="AE119" s="299" t="s">
        <v>128</v>
      </c>
      <c r="AF119" s="301"/>
      <c r="AG119" s="301"/>
      <c r="AH119" s="301"/>
      <c r="AI119" s="316" t="s">
        <v>134</v>
      </c>
      <c r="AJ119" s="316"/>
      <c r="AK119" s="316"/>
      <c r="AL119" s="324"/>
      <c r="AM119" s="36"/>
      <c r="AN119" s="36"/>
      <c r="AO119" s="36"/>
      <c r="AP119" s="36"/>
      <c r="AQ119" s="36"/>
      <c r="AR119" s="36"/>
      <c r="AS119" s="36"/>
      <c r="AT119" s="36"/>
    </row>
    <row r="120" spans="2:46" s="6" customFormat="1" ht="31.8" customHeight="1" thickBot="1">
      <c r="B120" s="306"/>
      <c r="C120" s="322"/>
      <c r="D120" s="322"/>
      <c r="E120" s="322"/>
      <c r="F120" s="319"/>
      <c r="G120" s="319"/>
      <c r="H120" s="321"/>
      <c r="I120" s="321"/>
      <c r="J120" s="205" t="s">
        <v>87</v>
      </c>
      <c r="K120" s="206" t="s">
        <v>88</v>
      </c>
      <c r="L120" s="206" t="s">
        <v>133</v>
      </c>
      <c r="M120" s="205" t="s">
        <v>87</v>
      </c>
      <c r="N120" s="206" t="s">
        <v>88</v>
      </c>
      <c r="O120" s="206" t="s">
        <v>133</v>
      </c>
      <c r="P120" s="205" t="s">
        <v>87</v>
      </c>
      <c r="Q120" s="206" t="s">
        <v>88</v>
      </c>
      <c r="R120" s="206" t="s">
        <v>133</v>
      </c>
      <c r="S120" s="205" t="s">
        <v>87</v>
      </c>
      <c r="T120" s="206" t="s">
        <v>88</v>
      </c>
      <c r="U120" s="206" t="s">
        <v>133</v>
      </c>
      <c r="V120" s="205" t="s">
        <v>87</v>
      </c>
      <c r="W120" s="206" t="s">
        <v>88</v>
      </c>
      <c r="X120" s="206" t="s">
        <v>133</v>
      </c>
      <c r="Y120" s="206" t="s">
        <v>87</v>
      </c>
      <c r="Z120" s="206" t="s">
        <v>88</v>
      </c>
      <c r="AA120" s="206" t="s">
        <v>133</v>
      </c>
      <c r="AB120" s="205" t="s">
        <v>87</v>
      </c>
      <c r="AC120" s="206" t="s">
        <v>88</v>
      </c>
      <c r="AD120" s="206" t="s">
        <v>126</v>
      </c>
      <c r="AE120" s="205" t="s">
        <v>87</v>
      </c>
      <c r="AF120" s="206" t="s">
        <v>88</v>
      </c>
      <c r="AG120" s="206" t="s">
        <v>129</v>
      </c>
      <c r="AH120" s="206" t="s">
        <v>130</v>
      </c>
      <c r="AI120" s="205" t="s">
        <v>87</v>
      </c>
      <c r="AJ120" s="206" t="s">
        <v>88</v>
      </c>
      <c r="AK120" s="206" t="s">
        <v>133</v>
      </c>
      <c r="AL120" s="207"/>
      <c r="AM120" s="36"/>
      <c r="AN120" s="36"/>
      <c r="AO120" s="36"/>
      <c r="AP120" s="36"/>
      <c r="AQ120" s="36"/>
      <c r="AR120" s="36"/>
      <c r="AS120" s="36"/>
      <c r="AT120" s="36"/>
    </row>
    <row r="121" spans="2:46" s="6" customFormat="1" ht="46.2" customHeight="1">
      <c r="B121" s="161">
        <v>3.1</v>
      </c>
      <c r="C121" s="283" t="s">
        <v>140</v>
      </c>
      <c r="D121" s="284"/>
      <c r="E121" s="208"/>
      <c r="F121" s="83"/>
      <c r="G121" s="83"/>
      <c r="H121" s="84"/>
      <c r="I121" s="84"/>
      <c r="J121" s="85"/>
      <c r="K121" s="85"/>
      <c r="L121" s="87"/>
      <c r="M121" s="85"/>
      <c r="N121" s="85"/>
      <c r="O121" s="87"/>
      <c r="P121" s="85"/>
      <c r="Q121" s="87"/>
      <c r="R121" s="87"/>
      <c r="S121" s="85"/>
      <c r="T121" s="87"/>
      <c r="U121" s="87"/>
      <c r="V121" s="85"/>
      <c r="W121" s="87"/>
      <c r="X121" s="87"/>
      <c r="Y121" s="87"/>
      <c r="Z121" s="87"/>
      <c r="AA121" s="87"/>
      <c r="AB121" s="85"/>
      <c r="AC121" s="87"/>
      <c r="AD121" s="87"/>
      <c r="AE121" s="85"/>
      <c r="AF121" s="87"/>
      <c r="AG121" s="87"/>
      <c r="AH121" s="87"/>
      <c r="AI121" s="85"/>
      <c r="AJ121" s="87"/>
      <c r="AK121" s="87"/>
      <c r="AL121" s="86"/>
      <c r="AM121" s="36"/>
      <c r="AN121" s="36"/>
      <c r="AO121" s="36"/>
      <c r="AP121" s="36"/>
      <c r="AQ121" s="36"/>
      <c r="AR121" s="36"/>
      <c r="AS121" s="36"/>
      <c r="AT121" s="36"/>
    </row>
    <row r="122" spans="2:46" ht="31.8" customHeight="1">
      <c r="B122" s="162"/>
      <c r="C122" s="113" t="s">
        <v>141</v>
      </c>
      <c r="D122" s="60"/>
      <c r="E122" s="60"/>
      <c r="F122" s="18"/>
      <c r="G122" s="18"/>
      <c r="H122" s="15"/>
      <c r="I122" s="15"/>
      <c r="J122" s="34"/>
      <c r="K122" s="34"/>
      <c r="L122" s="39"/>
      <c r="M122" s="34"/>
      <c r="N122" s="34"/>
      <c r="O122" s="39"/>
      <c r="P122" s="34"/>
      <c r="Q122" s="39"/>
      <c r="R122" s="39"/>
      <c r="S122" s="34"/>
      <c r="T122" s="39"/>
      <c r="U122" s="39"/>
      <c r="V122" s="34"/>
      <c r="W122" s="39"/>
      <c r="X122" s="39"/>
      <c r="Y122" s="39"/>
      <c r="Z122" s="39"/>
      <c r="AA122" s="39"/>
      <c r="AB122" s="34"/>
      <c r="AC122" s="39"/>
      <c r="AD122" s="39"/>
      <c r="AE122" s="34"/>
      <c r="AF122" s="39"/>
      <c r="AG122" s="39"/>
      <c r="AH122" s="39"/>
      <c r="AI122" s="34"/>
      <c r="AJ122" s="39"/>
      <c r="AK122" s="39"/>
      <c r="AL122" s="40"/>
    </row>
    <row r="123" spans="2:46" ht="48.6" customHeight="1">
      <c r="B123" s="48" t="s">
        <v>25</v>
      </c>
      <c r="C123" s="188" t="s">
        <v>683</v>
      </c>
      <c r="D123" s="46"/>
      <c r="E123" s="187" t="s">
        <v>692</v>
      </c>
      <c r="F123" s="18" t="s">
        <v>318</v>
      </c>
      <c r="G123" s="18" t="s">
        <v>319</v>
      </c>
      <c r="H123" s="199">
        <v>2021</v>
      </c>
      <c r="I123" s="199">
        <v>2023</v>
      </c>
      <c r="J123" s="177">
        <f>'[1]Summary for IPSIS'!$H$99+'[1]Summary for IPSIS'!$I$99</f>
        <v>4544832</v>
      </c>
      <c r="K123" s="148">
        <f>'[1]Summary for IPSIS'!$J$99</f>
        <v>0</v>
      </c>
      <c r="L123" s="148">
        <f>J123+K123</f>
        <v>4544832</v>
      </c>
      <c r="M123" s="177">
        <f>'[1]Summary for IPSIS'!$T$99+'[1]Summary for IPSIS'!$U$99</f>
        <v>4520832</v>
      </c>
      <c r="N123" s="148">
        <f>'[1]Summary for IPSIS'!$V$99</f>
        <v>0</v>
      </c>
      <c r="O123" s="148">
        <f>M123+N123</f>
        <v>4520832</v>
      </c>
      <c r="P123" s="177">
        <f>'[1]Summary for IPSIS'!$AF$99+'[1]Summary for IPSIS'!$AG$99</f>
        <v>4520832</v>
      </c>
      <c r="Q123" s="148">
        <f>'[1]Summary for IPSIS'!$AH$99</f>
        <v>0</v>
      </c>
      <c r="R123" s="148">
        <f>P123+Q123</f>
        <v>4520832</v>
      </c>
      <c r="S123" s="177">
        <f>'[1]Summary for IPSIS'!$AR$99+'[1]Summary for IPSIS'!$AS$99</f>
        <v>0</v>
      </c>
      <c r="T123" s="148">
        <f>'[1]Summary for IPSIS'!$AT$99</f>
        <v>0</v>
      </c>
      <c r="U123" s="148">
        <f>S123+T123</f>
        <v>0</v>
      </c>
      <c r="V123" s="177">
        <f>'[1]Summary for IPSIS'!$BD$99+'[1]Summary for IPSIS'!$BE$99</f>
        <v>0</v>
      </c>
      <c r="W123" s="148">
        <f>'[1]Summary for IPSIS'!$BF$99</f>
        <v>0</v>
      </c>
      <c r="X123" s="148">
        <f>V123+W123</f>
        <v>0</v>
      </c>
      <c r="Y123" s="148">
        <f>J123+M123+P123+S123+V123</f>
        <v>13586496</v>
      </c>
      <c r="Z123" s="148">
        <f>K123+N123+Q123+T123+W123</f>
        <v>0</v>
      </c>
      <c r="AA123" s="148">
        <f>Y123+Z123</f>
        <v>13586496</v>
      </c>
      <c r="AB123" s="177">
        <f>4544832+4520832+4520832</f>
        <v>13586496</v>
      </c>
      <c r="AC123" s="148">
        <f>0</f>
        <v>0</v>
      </c>
      <c r="AD123" s="148">
        <f>AB123+AC123</f>
        <v>13586496</v>
      </c>
      <c r="AE123" s="177">
        <f>0</f>
        <v>0</v>
      </c>
      <c r="AF123" s="148">
        <f>0</f>
        <v>0</v>
      </c>
      <c r="AG123" s="148"/>
      <c r="AH123" s="148">
        <f>AE123+AF123</f>
        <v>0</v>
      </c>
      <c r="AI123" s="177">
        <f>0</f>
        <v>0</v>
      </c>
      <c r="AJ123" s="148">
        <f>0</f>
        <v>0</v>
      </c>
      <c r="AK123" s="148">
        <f>AI123+AJ123</f>
        <v>0</v>
      </c>
      <c r="AL123" s="210">
        <f t="shared" ref="AL123:AL131" si="81">SUM(AK123+AH123+AD123)-AA123</f>
        <v>0</v>
      </c>
    </row>
    <row r="124" spans="2:46" ht="42.6" customHeight="1">
      <c r="B124" s="48" t="s">
        <v>26</v>
      </c>
      <c r="C124" s="188" t="s">
        <v>684</v>
      </c>
      <c r="D124" s="46"/>
      <c r="E124" s="187" t="s">
        <v>692</v>
      </c>
      <c r="F124" s="10" t="s">
        <v>318</v>
      </c>
      <c r="G124" s="10" t="s">
        <v>319</v>
      </c>
      <c r="H124" s="199">
        <v>2021</v>
      </c>
      <c r="I124" s="199">
        <v>2025</v>
      </c>
      <c r="J124" s="177">
        <f>'[1]Summary for IPSIS'!$H$100+'[1]Summary for IPSIS'!$I$100</f>
        <v>484800</v>
      </c>
      <c r="K124" s="148">
        <f>'[1]Summary for IPSIS'!$J$100</f>
        <v>0</v>
      </c>
      <c r="L124" s="148">
        <f t="shared" ref="L124:L131" si="82">J124+K124</f>
        <v>484800</v>
      </c>
      <c r="M124" s="177">
        <f>'[1]Summary for IPSIS'!$T$100+'[1]Summary for IPSIS'!$U$100</f>
        <v>484800</v>
      </c>
      <c r="N124" s="148">
        <f>'[1]Summary for IPSIS'!$V$100</f>
        <v>0</v>
      </c>
      <c r="O124" s="148">
        <f t="shared" ref="O124:O131" si="83">M124+N124</f>
        <v>484800</v>
      </c>
      <c r="P124" s="177">
        <f>'[1]Summary for IPSIS'!$AF$100+'[1]Summary for IPSIS'!$AG$100</f>
        <v>484800</v>
      </c>
      <c r="Q124" s="148">
        <f>'[1]Summary for IPSIS'!$AH$100</f>
        <v>0</v>
      </c>
      <c r="R124" s="148">
        <f t="shared" ref="R124:R131" si="84">P124+Q124</f>
        <v>484800</v>
      </c>
      <c r="S124" s="177">
        <f>'[1]Summary for IPSIS'!$AR$100+'[1]Summary for IPSIS'!$AS$100</f>
        <v>484800</v>
      </c>
      <c r="T124" s="148">
        <f>'[1]Summary for IPSIS'!$AT$100</f>
        <v>0</v>
      </c>
      <c r="U124" s="148">
        <f t="shared" ref="U124:U131" si="85">S124+T124</f>
        <v>484800</v>
      </c>
      <c r="V124" s="177">
        <f>'[1]Summary for IPSIS'!$BD$100+'[1]Summary for IPSIS'!$BE$100</f>
        <v>484800</v>
      </c>
      <c r="W124" s="148">
        <f>'[1]Summary for IPSIS'!$BF$100</f>
        <v>0</v>
      </c>
      <c r="X124" s="148">
        <f t="shared" ref="X124:X131" si="86">V124+W124</f>
        <v>484800</v>
      </c>
      <c r="Y124" s="148">
        <f t="shared" ref="Y124:Y131" si="87">J124+M124+P124+S124+V124</f>
        <v>2424000</v>
      </c>
      <c r="Z124" s="148">
        <f t="shared" ref="Z124:Z131" si="88">K124+N124+Q124+T124+W124</f>
        <v>0</v>
      </c>
      <c r="AA124" s="148">
        <f t="shared" ref="AA124:AA131" si="89">Y124+Z124</f>
        <v>2424000</v>
      </c>
      <c r="AB124" s="41">
        <f>0</f>
        <v>0</v>
      </c>
      <c r="AC124" s="37">
        <f>0</f>
        <v>0</v>
      </c>
      <c r="AD124" s="148">
        <f t="shared" ref="AD124:AD131" si="90">AB124+AC124</f>
        <v>0</v>
      </c>
      <c r="AE124" s="41">
        <f>0</f>
        <v>0</v>
      </c>
      <c r="AF124" s="37">
        <f>0</f>
        <v>0</v>
      </c>
      <c r="AG124" s="37"/>
      <c r="AH124" s="148">
        <f t="shared" ref="AH124:AH131" si="91">AE124+AF124</f>
        <v>0</v>
      </c>
      <c r="AI124" s="41">
        <f>0</f>
        <v>0</v>
      </c>
      <c r="AJ124" s="37">
        <f>0</f>
        <v>0</v>
      </c>
      <c r="AK124" s="148">
        <f t="shared" ref="AK124:AK131" si="92">AI124+AJ124</f>
        <v>0</v>
      </c>
      <c r="AL124" s="210">
        <f t="shared" si="81"/>
        <v>-2424000</v>
      </c>
    </row>
    <row r="125" spans="2:46" s="23" customFormat="1" ht="31.8" customHeight="1">
      <c r="B125" s="48" t="s">
        <v>320</v>
      </c>
      <c r="C125" s="188" t="s">
        <v>685</v>
      </c>
      <c r="D125" s="49"/>
      <c r="E125" s="187" t="s">
        <v>693</v>
      </c>
      <c r="F125" s="11" t="s">
        <v>318</v>
      </c>
      <c r="G125" s="11" t="s">
        <v>319</v>
      </c>
      <c r="H125" s="200">
        <v>2021</v>
      </c>
      <c r="I125" s="200">
        <v>2025</v>
      </c>
      <c r="J125" s="177">
        <f>'[1]Summary for IPSIS'!$H$101+'[1]Summary for IPSIS'!$I$101</f>
        <v>813960</v>
      </c>
      <c r="K125" s="148">
        <f>'[1]Summary for IPSIS'!$J$101</f>
        <v>0</v>
      </c>
      <c r="L125" s="148">
        <f t="shared" si="82"/>
        <v>813960</v>
      </c>
      <c r="M125" s="177">
        <f>'[1]Summary for IPSIS'!$T$101+'[1]Summary for IPSIS'!$U$101</f>
        <v>504000</v>
      </c>
      <c r="N125" s="148">
        <f>'[1]Summary for IPSIS'!$V$101</f>
        <v>0</v>
      </c>
      <c r="O125" s="148">
        <f t="shared" si="83"/>
        <v>504000</v>
      </c>
      <c r="P125" s="177">
        <f>'[1]Summary for IPSIS'!$AF$101+'[1]Summary for IPSIS'!$AG$101</f>
        <v>504000</v>
      </c>
      <c r="Q125" s="148">
        <f>'[1]Summary for IPSIS'!$AH$101</f>
        <v>0</v>
      </c>
      <c r="R125" s="148">
        <f t="shared" si="84"/>
        <v>504000</v>
      </c>
      <c r="S125" s="177">
        <f>'[1]Summary for IPSIS'!$AR$101+'[1]Summary for IPSIS'!$AS$101</f>
        <v>504000</v>
      </c>
      <c r="T125" s="148">
        <f>'[1]Summary for IPSIS'!$AT$101</f>
        <v>0</v>
      </c>
      <c r="U125" s="148">
        <f t="shared" si="85"/>
        <v>504000</v>
      </c>
      <c r="V125" s="177">
        <f>'[1]Summary for IPSIS'!$BD$101+'[1]Summary for IPSIS'!$BE$101</f>
        <v>504000</v>
      </c>
      <c r="W125" s="148">
        <f>'[1]Summary for IPSIS'!$BF$101</f>
        <v>0</v>
      </c>
      <c r="X125" s="148">
        <f t="shared" si="86"/>
        <v>504000</v>
      </c>
      <c r="Y125" s="148">
        <f t="shared" si="87"/>
        <v>2829960</v>
      </c>
      <c r="Z125" s="148">
        <f t="shared" si="88"/>
        <v>0</v>
      </c>
      <c r="AA125" s="148">
        <f t="shared" si="89"/>
        <v>2829960</v>
      </c>
      <c r="AB125" s="41">
        <f>813960+504000+0</f>
        <v>1317960</v>
      </c>
      <c r="AC125" s="41">
        <f>0</f>
        <v>0</v>
      </c>
      <c r="AD125" s="148">
        <f t="shared" si="90"/>
        <v>1317960</v>
      </c>
      <c r="AE125" s="41">
        <f>0</f>
        <v>0</v>
      </c>
      <c r="AF125" s="41">
        <f>0</f>
        <v>0</v>
      </c>
      <c r="AG125" s="41"/>
      <c r="AH125" s="148">
        <f t="shared" si="91"/>
        <v>0</v>
      </c>
      <c r="AI125" s="41">
        <f>504000</f>
        <v>504000</v>
      </c>
      <c r="AJ125" s="41">
        <f>0</f>
        <v>0</v>
      </c>
      <c r="AK125" s="148">
        <f t="shared" si="92"/>
        <v>504000</v>
      </c>
      <c r="AL125" s="210">
        <f t="shared" si="81"/>
        <v>-1008000</v>
      </c>
    </row>
    <row r="126" spans="2:46" s="23" customFormat="1" ht="30" customHeight="1">
      <c r="B126" s="48" t="s">
        <v>321</v>
      </c>
      <c r="C126" s="188" t="s">
        <v>686</v>
      </c>
      <c r="D126" s="46"/>
      <c r="E126" s="187" t="s">
        <v>692</v>
      </c>
      <c r="F126" s="11" t="s">
        <v>318</v>
      </c>
      <c r="G126" s="11" t="s">
        <v>319</v>
      </c>
      <c r="H126" s="200">
        <v>2021</v>
      </c>
      <c r="I126" s="200">
        <v>2025</v>
      </c>
      <c r="J126" s="177">
        <f>'[1]Summary for IPSIS'!$H$102+'[1]Summary for IPSIS'!$I$102</f>
        <v>3870624</v>
      </c>
      <c r="K126" s="148">
        <f>'[1]Summary for IPSIS'!$J$102</f>
        <v>0</v>
      </c>
      <c r="L126" s="148">
        <f t="shared" si="82"/>
        <v>3870624</v>
      </c>
      <c r="M126" s="177">
        <f>'[1]Summary for IPSIS'!$T$102+'[1]Summary for IPSIS'!$U$102</f>
        <v>3870624</v>
      </c>
      <c r="N126" s="148">
        <f>'[1]Summary for IPSIS'!$V$102</f>
        <v>0</v>
      </c>
      <c r="O126" s="148">
        <f t="shared" si="83"/>
        <v>3870624</v>
      </c>
      <c r="P126" s="177">
        <f>'[1]Summary for IPSIS'!$AF$102+'[1]Summary for IPSIS'!$AG$102</f>
        <v>3870624</v>
      </c>
      <c r="Q126" s="148">
        <f>'[1]Summary for IPSIS'!$AH$102</f>
        <v>0</v>
      </c>
      <c r="R126" s="148">
        <f t="shared" si="84"/>
        <v>3870624</v>
      </c>
      <c r="S126" s="177">
        <f>'[1]Summary for IPSIS'!$AR$102+'[1]Summary for IPSIS'!$AS$102</f>
        <v>3870624</v>
      </c>
      <c r="T126" s="148">
        <f>'[1]Summary for IPSIS'!$AT$102</f>
        <v>0</v>
      </c>
      <c r="U126" s="148">
        <f t="shared" si="85"/>
        <v>3870624</v>
      </c>
      <c r="V126" s="177">
        <f>'[1]Summary for IPSIS'!$BD$102+'[1]Summary for IPSIS'!$BE$102</f>
        <v>3870624</v>
      </c>
      <c r="W126" s="148">
        <f>'[1]Summary for IPSIS'!$BF$102</f>
        <v>0</v>
      </c>
      <c r="X126" s="148">
        <f t="shared" si="86"/>
        <v>3870624</v>
      </c>
      <c r="Y126" s="148">
        <f t="shared" si="87"/>
        <v>19353120</v>
      </c>
      <c r="Z126" s="148">
        <f t="shared" si="88"/>
        <v>0</v>
      </c>
      <c r="AA126" s="148">
        <f t="shared" si="89"/>
        <v>19353120</v>
      </c>
      <c r="AB126" s="41">
        <f>3870624+3870624+3870624</f>
        <v>11611872</v>
      </c>
      <c r="AC126" s="41">
        <f>0</f>
        <v>0</v>
      </c>
      <c r="AD126" s="148">
        <f t="shared" si="90"/>
        <v>11611872</v>
      </c>
      <c r="AE126" s="41">
        <f>0</f>
        <v>0</v>
      </c>
      <c r="AF126" s="41">
        <f>0</f>
        <v>0</v>
      </c>
      <c r="AG126" s="41"/>
      <c r="AH126" s="148">
        <f t="shared" si="91"/>
        <v>0</v>
      </c>
      <c r="AI126" s="41">
        <f>3870624+3870624</f>
        <v>7741248</v>
      </c>
      <c r="AJ126" s="41">
        <f>0</f>
        <v>0</v>
      </c>
      <c r="AK126" s="148">
        <f t="shared" si="92"/>
        <v>7741248</v>
      </c>
      <c r="AL126" s="210">
        <f t="shared" si="81"/>
        <v>0</v>
      </c>
    </row>
    <row r="127" spans="2:46" ht="33.6" customHeight="1">
      <c r="B127" s="48" t="s">
        <v>322</v>
      </c>
      <c r="C127" s="188" t="s">
        <v>687</v>
      </c>
      <c r="D127" s="46"/>
      <c r="E127" s="187" t="s">
        <v>692</v>
      </c>
      <c r="F127" s="10" t="s">
        <v>318</v>
      </c>
      <c r="G127" s="10" t="s">
        <v>319</v>
      </c>
      <c r="H127" s="200">
        <v>2021</v>
      </c>
      <c r="I127" s="200">
        <v>2025</v>
      </c>
      <c r="J127" s="177">
        <f>'[1]Summary for IPSIS'!$H$103+'[1]Summary for IPSIS'!$I$103</f>
        <v>300000</v>
      </c>
      <c r="K127" s="148">
        <f>'[1]Summary for IPSIS'!$J$103</f>
        <v>0</v>
      </c>
      <c r="L127" s="148">
        <f t="shared" si="82"/>
        <v>300000</v>
      </c>
      <c r="M127" s="177">
        <f>'[1]Summary for IPSIS'!$T$103+'[1]Summary for IPSIS'!$U$103</f>
        <v>300000</v>
      </c>
      <c r="N127" s="148">
        <f>'[1]Summary for IPSIS'!$V$103</f>
        <v>0</v>
      </c>
      <c r="O127" s="148">
        <f t="shared" si="83"/>
        <v>300000</v>
      </c>
      <c r="P127" s="177">
        <f>'[1]Summary for IPSIS'!$AF$103+'[1]Summary for IPSIS'!$AG$103</f>
        <v>300000</v>
      </c>
      <c r="Q127" s="148">
        <f>'[1]Summary for IPSIS'!$AH$103</f>
        <v>0</v>
      </c>
      <c r="R127" s="148">
        <f t="shared" si="84"/>
        <v>300000</v>
      </c>
      <c r="S127" s="177">
        <f>'[1]Summary for IPSIS'!$AR$103+'[1]Summary for IPSIS'!$AS$103</f>
        <v>300000</v>
      </c>
      <c r="T127" s="148">
        <f>'[1]Summary for IPSIS'!$AT$103</f>
        <v>0</v>
      </c>
      <c r="U127" s="148">
        <f t="shared" si="85"/>
        <v>300000</v>
      </c>
      <c r="V127" s="177">
        <f>'[1]Summary for IPSIS'!$BD$103+'[1]Summary for IPSIS'!$BE$103</f>
        <v>300000</v>
      </c>
      <c r="W127" s="148">
        <f>'[1]Summary for IPSIS'!$BF$103</f>
        <v>0</v>
      </c>
      <c r="X127" s="148">
        <f t="shared" si="86"/>
        <v>300000</v>
      </c>
      <c r="Y127" s="148">
        <f t="shared" si="87"/>
        <v>1500000</v>
      </c>
      <c r="Z127" s="148">
        <f t="shared" si="88"/>
        <v>0</v>
      </c>
      <c r="AA127" s="148">
        <f t="shared" si="89"/>
        <v>1500000</v>
      </c>
      <c r="AB127" s="41">
        <f>0</f>
        <v>0</v>
      </c>
      <c r="AC127" s="37">
        <f>0</f>
        <v>0</v>
      </c>
      <c r="AD127" s="148">
        <f t="shared" si="90"/>
        <v>0</v>
      </c>
      <c r="AE127" s="41">
        <f>0</f>
        <v>0</v>
      </c>
      <c r="AF127" s="37">
        <f>0</f>
        <v>0</v>
      </c>
      <c r="AG127" s="37"/>
      <c r="AH127" s="148">
        <f t="shared" si="91"/>
        <v>0</v>
      </c>
      <c r="AI127" s="41">
        <f>0</f>
        <v>0</v>
      </c>
      <c r="AJ127" s="37">
        <f>0</f>
        <v>0</v>
      </c>
      <c r="AK127" s="148">
        <f t="shared" si="92"/>
        <v>0</v>
      </c>
      <c r="AL127" s="210">
        <f t="shared" si="81"/>
        <v>-1500000</v>
      </c>
    </row>
    <row r="128" spans="2:46" ht="40.799999999999997" customHeight="1">
      <c r="B128" s="48" t="s">
        <v>323</v>
      </c>
      <c r="C128" s="188" t="s">
        <v>688</v>
      </c>
      <c r="D128" s="46"/>
      <c r="E128" s="187" t="s">
        <v>692</v>
      </c>
      <c r="F128" s="10" t="s">
        <v>318</v>
      </c>
      <c r="G128" s="10" t="s">
        <v>319</v>
      </c>
      <c r="H128" s="200">
        <v>2022</v>
      </c>
      <c r="I128" s="200">
        <v>2025</v>
      </c>
      <c r="J128" s="177">
        <f>'[1]Summary for IPSIS'!$H$104+'[1]Summary for IPSIS'!$I$104</f>
        <v>0</v>
      </c>
      <c r="K128" s="148">
        <f>'[1]Summary for IPSIS'!$J$104</f>
        <v>0</v>
      </c>
      <c r="L128" s="148">
        <f t="shared" si="82"/>
        <v>0</v>
      </c>
      <c r="M128" s="177">
        <f>'[1]Summary for IPSIS'!$T$104+'[1]Summary for IPSIS'!$U$104</f>
        <v>3120000</v>
      </c>
      <c r="N128" s="148">
        <f>'[1]Summary for IPSIS'!$V$104</f>
        <v>0</v>
      </c>
      <c r="O128" s="148">
        <f t="shared" si="83"/>
        <v>3120000</v>
      </c>
      <c r="P128" s="177">
        <f>'[1]Summary for IPSIS'!$AF$104+'[1]Summary for IPSIS'!$AG$104</f>
        <v>3120000</v>
      </c>
      <c r="Q128" s="148">
        <f>'[1]Summary for IPSIS'!$AH$104</f>
        <v>0</v>
      </c>
      <c r="R128" s="148">
        <f t="shared" si="84"/>
        <v>3120000</v>
      </c>
      <c r="S128" s="177">
        <f>'[1]Summary for IPSIS'!$AR$104+'[1]Summary for IPSIS'!$AS$104</f>
        <v>3120000</v>
      </c>
      <c r="T128" s="148">
        <f>'[1]Summary for IPSIS'!$AT$104</f>
        <v>0</v>
      </c>
      <c r="U128" s="148">
        <f t="shared" si="85"/>
        <v>3120000</v>
      </c>
      <c r="V128" s="177">
        <f>'[1]Summary for IPSIS'!$BD$104+'[1]Summary for IPSIS'!$BE$104</f>
        <v>3120000</v>
      </c>
      <c r="W128" s="148">
        <f>'[1]Summary for IPSIS'!$BF$104</f>
        <v>0</v>
      </c>
      <c r="X128" s="148">
        <f t="shared" si="86"/>
        <v>3120000</v>
      </c>
      <c r="Y128" s="148">
        <f t="shared" si="87"/>
        <v>12480000</v>
      </c>
      <c r="Z128" s="148">
        <f t="shared" si="88"/>
        <v>0</v>
      </c>
      <c r="AA128" s="148">
        <f t="shared" si="89"/>
        <v>12480000</v>
      </c>
      <c r="AB128" s="41">
        <f>0+3120000+3120000</f>
        <v>6240000</v>
      </c>
      <c r="AC128" s="37">
        <f>0</f>
        <v>0</v>
      </c>
      <c r="AD128" s="148">
        <f t="shared" si="90"/>
        <v>6240000</v>
      </c>
      <c r="AE128" s="41">
        <f>0</f>
        <v>0</v>
      </c>
      <c r="AF128" s="37">
        <f>0</f>
        <v>0</v>
      </c>
      <c r="AG128" s="37"/>
      <c r="AH128" s="148">
        <f t="shared" si="91"/>
        <v>0</v>
      </c>
      <c r="AI128" s="41">
        <f>3120000+3120000</f>
        <v>6240000</v>
      </c>
      <c r="AJ128" s="37">
        <f>0</f>
        <v>0</v>
      </c>
      <c r="AK128" s="148">
        <f t="shared" si="92"/>
        <v>6240000</v>
      </c>
      <c r="AL128" s="210">
        <f t="shared" si="81"/>
        <v>0</v>
      </c>
    </row>
    <row r="129" spans="2:46" ht="48">
      <c r="B129" s="48" t="s">
        <v>324</v>
      </c>
      <c r="C129" s="188" t="s">
        <v>689</v>
      </c>
      <c r="D129" s="46"/>
      <c r="E129" s="187" t="s">
        <v>692</v>
      </c>
      <c r="F129" s="10" t="s">
        <v>318</v>
      </c>
      <c r="G129" s="10" t="s">
        <v>319</v>
      </c>
      <c r="H129" s="200">
        <v>2022</v>
      </c>
      <c r="I129" s="200">
        <v>2022</v>
      </c>
      <c r="J129" s="177">
        <f>'[1]Summary for IPSIS'!$H$105+'[1]Summary for IPSIS'!$I$105</f>
        <v>0</v>
      </c>
      <c r="K129" s="148">
        <f>'[1]Summary for IPSIS'!$J$105</f>
        <v>0</v>
      </c>
      <c r="L129" s="148">
        <f t="shared" si="82"/>
        <v>0</v>
      </c>
      <c r="M129" s="177">
        <f>'[1]Summary for IPSIS'!$T$105+'[1]Summary for IPSIS'!$U$105</f>
        <v>1200000</v>
      </c>
      <c r="N129" s="148">
        <f>'[1]Summary for IPSIS'!$V$105</f>
        <v>0</v>
      </c>
      <c r="O129" s="148">
        <f t="shared" si="83"/>
        <v>1200000</v>
      </c>
      <c r="P129" s="177">
        <f>'[1]Summary for IPSIS'!$AF$105+'[1]Summary for IPSIS'!$AG$105</f>
        <v>0</v>
      </c>
      <c r="Q129" s="148">
        <f>'[1]Summary for IPSIS'!$AH$105</f>
        <v>0</v>
      </c>
      <c r="R129" s="148">
        <f t="shared" si="84"/>
        <v>0</v>
      </c>
      <c r="S129" s="177">
        <f>'[1]Summary for IPSIS'!$AR$105+'[1]Summary for IPSIS'!$AS$105</f>
        <v>0</v>
      </c>
      <c r="T129" s="148">
        <f>'[1]Summary for IPSIS'!$AT$105</f>
        <v>0</v>
      </c>
      <c r="U129" s="148">
        <f t="shared" si="85"/>
        <v>0</v>
      </c>
      <c r="V129" s="177">
        <f>'[1]Summary for IPSIS'!$BD$105+'[1]Summary for IPSIS'!$BE$105</f>
        <v>0</v>
      </c>
      <c r="W129" s="148">
        <f>'[1]Summary for IPSIS'!$BF$105</f>
        <v>0</v>
      </c>
      <c r="X129" s="148">
        <f t="shared" si="86"/>
        <v>0</v>
      </c>
      <c r="Y129" s="148">
        <f t="shared" si="87"/>
        <v>1200000</v>
      </c>
      <c r="Z129" s="148">
        <f t="shared" si="88"/>
        <v>0</v>
      </c>
      <c r="AA129" s="148">
        <f t="shared" si="89"/>
        <v>1200000</v>
      </c>
      <c r="AB129" s="41">
        <f>0</f>
        <v>0</v>
      </c>
      <c r="AC129" s="37">
        <f>0</f>
        <v>0</v>
      </c>
      <c r="AD129" s="148">
        <f t="shared" si="90"/>
        <v>0</v>
      </c>
      <c r="AE129" s="41">
        <f>0</f>
        <v>0</v>
      </c>
      <c r="AF129" s="37">
        <f>0</f>
        <v>0</v>
      </c>
      <c r="AG129" s="37"/>
      <c r="AH129" s="148">
        <f t="shared" si="91"/>
        <v>0</v>
      </c>
      <c r="AI129" s="41">
        <f>0</f>
        <v>0</v>
      </c>
      <c r="AJ129" s="37">
        <f>0</f>
        <v>0</v>
      </c>
      <c r="AK129" s="148">
        <f t="shared" si="92"/>
        <v>0</v>
      </c>
      <c r="AL129" s="210">
        <f t="shared" si="81"/>
        <v>-1200000</v>
      </c>
    </row>
    <row r="130" spans="2:46" ht="30" customHeight="1">
      <c r="B130" s="48" t="s">
        <v>325</v>
      </c>
      <c r="C130" s="188" t="s">
        <v>690</v>
      </c>
      <c r="D130" s="46"/>
      <c r="E130" s="187" t="s">
        <v>692</v>
      </c>
      <c r="F130" s="10" t="s">
        <v>318</v>
      </c>
      <c r="G130" s="10" t="s">
        <v>319</v>
      </c>
      <c r="H130" s="200">
        <v>2023</v>
      </c>
      <c r="I130" s="200">
        <v>2023</v>
      </c>
      <c r="J130" s="177">
        <f>'[1]Summary for IPSIS'!$H$106+'[1]Summary for IPSIS'!$I$106</f>
        <v>0</v>
      </c>
      <c r="K130" s="148">
        <f>'[1]Summary for IPSIS'!$J$106</f>
        <v>0</v>
      </c>
      <c r="L130" s="148">
        <f t="shared" si="82"/>
        <v>0</v>
      </c>
      <c r="M130" s="177">
        <f>'[1]Summary for IPSIS'!$T$106+'[1]Summary for IPSIS'!$U$106</f>
        <v>0</v>
      </c>
      <c r="N130" s="148">
        <f>'[1]Summary for IPSIS'!$V$106</f>
        <v>0</v>
      </c>
      <c r="O130" s="148">
        <f t="shared" si="83"/>
        <v>0</v>
      </c>
      <c r="P130" s="177">
        <f>'[1]Summary for IPSIS'!$AF$106+'[1]Summary for IPSIS'!$AG$106</f>
        <v>387600</v>
      </c>
      <c r="Q130" s="148">
        <f>'[1]Summary for IPSIS'!$AH$106</f>
        <v>0</v>
      </c>
      <c r="R130" s="148">
        <f t="shared" si="84"/>
        <v>387600</v>
      </c>
      <c r="S130" s="177">
        <f>'[1]Summary for IPSIS'!$AR$106+'[1]Summary for IPSIS'!$AS$106</f>
        <v>0</v>
      </c>
      <c r="T130" s="148">
        <f>'[1]Summary for IPSIS'!$AT$106</f>
        <v>0</v>
      </c>
      <c r="U130" s="148">
        <f t="shared" si="85"/>
        <v>0</v>
      </c>
      <c r="V130" s="177">
        <f>'[1]Summary for IPSIS'!$BD$106+'[1]Summary for IPSIS'!$BE$106</f>
        <v>0</v>
      </c>
      <c r="W130" s="148">
        <f>'[1]Summary for IPSIS'!$BF$106</f>
        <v>0</v>
      </c>
      <c r="X130" s="148">
        <f t="shared" si="86"/>
        <v>0</v>
      </c>
      <c r="Y130" s="148">
        <f t="shared" si="87"/>
        <v>387600</v>
      </c>
      <c r="Z130" s="148">
        <f t="shared" si="88"/>
        <v>0</v>
      </c>
      <c r="AA130" s="148">
        <f t="shared" si="89"/>
        <v>387600</v>
      </c>
      <c r="AB130" s="41">
        <f>0</f>
        <v>0</v>
      </c>
      <c r="AC130" s="37">
        <f>0</f>
        <v>0</v>
      </c>
      <c r="AD130" s="148">
        <f t="shared" si="90"/>
        <v>0</v>
      </c>
      <c r="AE130" s="41">
        <f>0</f>
        <v>0</v>
      </c>
      <c r="AF130" s="37">
        <f>0</f>
        <v>0</v>
      </c>
      <c r="AG130" s="37"/>
      <c r="AH130" s="148">
        <f t="shared" si="91"/>
        <v>0</v>
      </c>
      <c r="AI130" s="41">
        <f>0</f>
        <v>0</v>
      </c>
      <c r="AJ130" s="37">
        <f>0</f>
        <v>0</v>
      </c>
      <c r="AK130" s="148">
        <f t="shared" si="92"/>
        <v>0</v>
      </c>
      <c r="AL130" s="210">
        <f t="shared" si="81"/>
        <v>-387600</v>
      </c>
    </row>
    <row r="131" spans="2:46" ht="24.6" thickBot="1">
      <c r="B131" s="233" t="s">
        <v>326</v>
      </c>
      <c r="C131" s="219" t="s">
        <v>691</v>
      </c>
      <c r="D131" s="178"/>
      <c r="E131" s="213" t="s">
        <v>692</v>
      </c>
      <c r="F131" s="214" t="s">
        <v>318</v>
      </c>
      <c r="G131" s="214" t="s">
        <v>319</v>
      </c>
      <c r="H131" s="235">
        <v>2023</v>
      </c>
      <c r="I131" s="235">
        <v>2023</v>
      </c>
      <c r="J131" s="236">
        <f>'[1]Summary for IPSIS'!$H$107+'[1]Summary for IPSIS'!$I$107</f>
        <v>0</v>
      </c>
      <c r="K131" s="237">
        <f>'[1]Summary for IPSIS'!$J$107</f>
        <v>0</v>
      </c>
      <c r="L131" s="237">
        <f t="shared" si="82"/>
        <v>0</v>
      </c>
      <c r="M131" s="236">
        <f>'[1]Summary for IPSIS'!$T$107+'[1]Summary for IPSIS'!$U$107</f>
        <v>0</v>
      </c>
      <c r="N131" s="237">
        <f>'[1]Summary for IPSIS'!$V$107</f>
        <v>0</v>
      </c>
      <c r="O131" s="237">
        <f t="shared" si="83"/>
        <v>0</v>
      </c>
      <c r="P131" s="236">
        <f>'[1]Summary for IPSIS'!$AF$107+'[1]Summary for IPSIS'!$AG$107</f>
        <v>410400</v>
      </c>
      <c r="Q131" s="237">
        <f>'[1]Summary for IPSIS'!$AH$107</f>
        <v>0</v>
      </c>
      <c r="R131" s="237">
        <f t="shared" si="84"/>
        <v>410400</v>
      </c>
      <c r="S131" s="236">
        <f>'[1]Summary for IPSIS'!$AR$107+'[1]Summary for IPSIS'!$AS$107</f>
        <v>0</v>
      </c>
      <c r="T131" s="237">
        <f>'[1]Summary for IPSIS'!$AT$107</f>
        <v>0</v>
      </c>
      <c r="U131" s="237">
        <f t="shared" si="85"/>
        <v>0</v>
      </c>
      <c r="V131" s="236">
        <f>'[1]Summary for IPSIS'!$BD$107+'[1]Summary for IPSIS'!$BE$107</f>
        <v>0</v>
      </c>
      <c r="W131" s="237">
        <f>'[1]Summary for IPSIS'!$BF$107</f>
        <v>0</v>
      </c>
      <c r="X131" s="237">
        <f t="shared" si="86"/>
        <v>0</v>
      </c>
      <c r="Y131" s="237">
        <f t="shared" si="87"/>
        <v>410400</v>
      </c>
      <c r="Z131" s="237">
        <f t="shared" si="88"/>
        <v>0</v>
      </c>
      <c r="AA131" s="237">
        <f t="shared" si="89"/>
        <v>410400</v>
      </c>
      <c r="AB131" s="74">
        <f>0</f>
        <v>0</v>
      </c>
      <c r="AC131" s="90">
        <f>0</f>
        <v>0</v>
      </c>
      <c r="AD131" s="237">
        <f t="shared" si="90"/>
        <v>0</v>
      </c>
      <c r="AE131" s="74">
        <f>0</f>
        <v>0</v>
      </c>
      <c r="AF131" s="90">
        <f>0</f>
        <v>0</v>
      </c>
      <c r="AG131" s="90"/>
      <c r="AH131" s="237">
        <f t="shared" si="91"/>
        <v>0</v>
      </c>
      <c r="AI131" s="74">
        <f>0</f>
        <v>0</v>
      </c>
      <c r="AJ131" s="90">
        <f>0</f>
        <v>0</v>
      </c>
      <c r="AK131" s="237">
        <f t="shared" si="92"/>
        <v>0</v>
      </c>
      <c r="AL131" s="217">
        <f t="shared" si="81"/>
        <v>-410400</v>
      </c>
    </row>
    <row r="132" spans="2:46" s="6" customFormat="1" ht="21.6" customHeight="1" thickBot="1">
      <c r="B132" s="58"/>
      <c r="C132" s="65" t="s">
        <v>71</v>
      </c>
      <c r="D132" s="66"/>
      <c r="E132" s="66"/>
      <c r="F132" s="56"/>
      <c r="G132" s="56"/>
      <c r="H132" s="56"/>
      <c r="I132" s="56"/>
      <c r="J132" s="57">
        <f>SUM(J123:J131)</f>
        <v>10014216</v>
      </c>
      <c r="K132" s="57">
        <f t="shared" ref="K132:AL132" si="93">SUM(K123:K131)</f>
        <v>0</v>
      </c>
      <c r="L132" s="57">
        <f t="shared" si="93"/>
        <v>10014216</v>
      </c>
      <c r="M132" s="57">
        <f t="shared" si="93"/>
        <v>14000256</v>
      </c>
      <c r="N132" s="57">
        <f t="shared" si="93"/>
        <v>0</v>
      </c>
      <c r="O132" s="57">
        <f t="shared" si="93"/>
        <v>14000256</v>
      </c>
      <c r="P132" s="57">
        <f t="shared" si="93"/>
        <v>13598256</v>
      </c>
      <c r="Q132" s="57">
        <f t="shared" si="93"/>
        <v>0</v>
      </c>
      <c r="R132" s="57">
        <f t="shared" si="93"/>
        <v>13598256</v>
      </c>
      <c r="S132" s="57">
        <f t="shared" si="93"/>
        <v>8279424</v>
      </c>
      <c r="T132" s="57">
        <f t="shared" si="93"/>
        <v>0</v>
      </c>
      <c r="U132" s="57">
        <f t="shared" si="93"/>
        <v>8279424</v>
      </c>
      <c r="V132" s="57">
        <f t="shared" si="93"/>
        <v>8279424</v>
      </c>
      <c r="W132" s="57">
        <f t="shared" si="93"/>
        <v>0</v>
      </c>
      <c r="X132" s="57">
        <f t="shared" si="93"/>
        <v>8279424</v>
      </c>
      <c r="Y132" s="57">
        <f t="shared" si="93"/>
        <v>54171576</v>
      </c>
      <c r="Z132" s="57">
        <f t="shared" si="93"/>
        <v>0</v>
      </c>
      <c r="AA132" s="57">
        <f t="shared" si="93"/>
        <v>54171576</v>
      </c>
      <c r="AB132" s="57">
        <f t="shared" si="93"/>
        <v>32756328</v>
      </c>
      <c r="AC132" s="57">
        <f t="shared" si="93"/>
        <v>0</v>
      </c>
      <c r="AD132" s="57">
        <f t="shared" si="93"/>
        <v>32756328</v>
      </c>
      <c r="AE132" s="57">
        <f t="shared" si="93"/>
        <v>0</v>
      </c>
      <c r="AF132" s="57">
        <f t="shared" si="93"/>
        <v>0</v>
      </c>
      <c r="AG132" s="57"/>
      <c r="AH132" s="57">
        <f t="shared" si="93"/>
        <v>0</v>
      </c>
      <c r="AI132" s="57">
        <f t="shared" si="93"/>
        <v>14485248</v>
      </c>
      <c r="AJ132" s="57">
        <f t="shared" si="93"/>
        <v>0</v>
      </c>
      <c r="AK132" s="57">
        <f t="shared" si="93"/>
        <v>14485248</v>
      </c>
      <c r="AL132" s="218">
        <f t="shared" si="93"/>
        <v>-6930000</v>
      </c>
      <c r="AM132" s="36"/>
      <c r="AN132" s="36"/>
      <c r="AO132" s="36"/>
      <c r="AP132" s="36"/>
      <c r="AQ132" s="36"/>
      <c r="AR132" s="36"/>
      <c r="AS132" s="36"/>
      <c r="AT132" s="36"/>
    </row>
    <row r="133" spans="2:46" ht="33" customHeight="1">
      <c r="B133" s="161">
        <v>3.2</v>
      </c>
      <c r="C133" s="283" t="s">
        <v>331</v>
      </c>
      <c r="D133" s="284"/>
      <c r="E133" s="208"/>
      <c r="F133" s="75"/>
      <c r="G133" s="75"/>
      <c r="H133" s="81"/>
      <c r="I133" s="81"/>
      <c r="J133" s="80"/>
      <c r="K133" s="80"/>
      <c r="L133" s="78"/>
      <c r="M133" s="80"/>
      <c r="N133" s="80"/>
      <c r="O133" s="78"/>
      <c r="P133" s="80"/>
      <c r="Q133" s="78"/>
      <c r="R133" s="78"/>
      <c r="S133" s="80"/>
      <c r="T133" s="78"/>
      <c r="U133" s="78"/>
      <c r="V133" s="80"/>
      <c r="W133" s="78"/>
      <c r="X133" s="78"/>
      <c r="Y133" s="78"/>
      <c r="Z133" s="78"/>
      <c r="AA133" s="78"/>
      <c r="AB133" s="80"/>
      <c r="AC133" s="78"/>
      <c r="AD133" s="78"/>
      <c r="AE133" s="80"/>
      <c r="AF133" s="78"/>
      <c r="AG133" s="78"/>
      <c r="AH133" s="78"/>
      <c r="AI133" s="80"/>
      <c r="AJ133" s="78"/>
      <c r="AK133" s="78"/>
      <c r="AL133" s="79"/>
    </row>
    <row r="134" spans="2:46" ht="21" customHeight="1">
      <c r="B134" s="162"/>
      <c r="C134" s="113" t="s">
        <v>141</v>
      </c>
      <c r="D134" s="60"/>
      <c r="E134" s="60"/>
      <c r="F134" s="18"/>
      <c r="G134" s="18"/>
      <c r="H134" s="15"/>
      <c r="I134" s="15"/>
      <c r="J134" s="34"/>
      <c r="K134" s="34"/>
      <c r="L134" s="39"/>
      <c r="M134" s="34"/>
      <c r="N134" s="34"/>
      <c r="O134" s="39"/>
      <c r="P134" s="34"/>
      <c r="Q134" s="39"/>
      <c r="R134" s="39"/>
      <c r="S134" s="34"/>
      <c r="T134" s="39"/>
      <c r="U134" s="39"/>
      <c r="V134" s="34"/>
      <c r="W134" s="39"/>
      <c r="X134" s="39"/>
      <c r="Y134" s="39"/>
      <c r="Z134" s="39"/>
      <c r="AA134" s="39"/>
      <c r="AB134" s="34"/>
      <c r="AC134" s="39"/>
      <c r="AD134" s="39"/>
      <c r="AE134" s="34"/>
      <c r="AF134" s="39"/>
      <c r="AG134" s="39"/>
      <c r="AH134" s="39"/>
      <c r="AI134" s="34"/>
      <c r="AJ134" s="39"/>
      <c r="AK134" s="39"/>
      <c r="AL134" s="40"/>
    </row>
    <row r="135" spans="2:46" ht="31.2" customHeight="1">
      <c r="B135" s="48" t="s">
        <v>27</v>
      </c>
      <c r="C135" s="13" t="s">
        <v>327</v>
      </c>
      <c r="D135" s="14"/>
      <c r="E135" s="189" t="s">
        <v>428</v>
      </c>
      <c r="F135" s="16" t="s">
        <v>318</v>
      </c>
      <c r="G135" s="10" t="s">
        <v>319</v>
      </c>
      <c r="H135" s="200">
        <v>2021</v>
      </c>
      <c r="I135" s="200">
        <v>2021</v>
      </c>
      <c r="J135" s="31">
        <f>'[1]Summary for IPSIS'!$H$109+'[1]Summary for IPSIS'!$I$109</f>
        <v>7577760</v>
      </c>
      <c r="K135" s="31">
        <f>'[1]Summary for IPSIS'!$J$109</f>
        <v>0</v>
      </c>
      <c r="L135" s="39">
        <f>J135+K135</f>
        <v>7577760</v>
      </c>
      <c r="M135" s="31">
        <f>'[1]Summary for IPSIS'!$T$109+'[1]Summary for IPSIS'!$U$109</f>
        <v>0</v>
      </c>
      <c r="N135" s="31">
        <f>'[1]Summary for IPSIS'!$V$109</f>
        <v>0</v>
      </c>
      <c r="O135" s="39">
        <f>M135+N135</f>
        <v>0</v>
      </c>
      <c r="P135" s="34">
        <f>'[1]Summary for IPSIS'!$AF$109+'[1]Summary for IPSIS'!$AG$109</f>
        <v>0</v>
      </c>
      <c r="Q135" s="39">
        <f>'[1]Summary for IPSIS'!$AH$109</f>
        <v>0</v>
      </c>
      <c r="R135" s="39">
        <f>P135+Q135</f>
        <v>0</v>
      </c>
      <c r="S135" s="34">
        <f>'[1]Summary for IPSIS'!$AR$109+'[1]Summary for IPSIS'!$AS$109</f>
        <v>0</v>
      </c>
      <c r="T135" s="39">
        <f>'[1]Summary for IPSIS'!$AT$109</f>
        <v>0</v>
      </c>
      <c r="U135" s="39">
        <f>S135+T135</f>
        <v>0</v>
      </c>
      <c r="V135" s="34">
        <f>'[1]Summary for IPSIS'!$BD$109+'[1]Summary for IPSIS'!$BE$109</f>
        <v>0</v>
      </c>
      <c r="W135" s="39">
        <f>'[1]Summary for IPSIS'!$BF$109</f>
        <v>0</v>
      </c>
      <c r="X135" s="39">
        <f>V135+W135</f>
        <v>0</v>
      </c>
      <c r="Y135" s="39">
        <f>J135+M135+P135+S135+V135</f>
        <v>7577760</v>
      </c>
      <c r="Z135" s="39">
        <f>K135+N135+Q135+T135+W135</f>
        <v>0</v>
      </c>
      <c r="AA135" s="39">
        <f>Y135+Z135</f>
        <v>7577760</v>
      </c>
      <c r="AB135" s="34">
        <f>7577760+0+0</f>
        <v>7577760</v>
      </c>
      <c r="AC135" s="39">
        <f>0</f>
        <v>0</v>
      </c>
      <c r="AD135" s="39">
        <f>AB135+AC135</f>
        <v>7577760</v>
      </c>
      <c r="AE135" s="41">
        <f>0</f>
        <v>0</v>
      </c>
      <c r="AF135" s="41">
        <f>0</f>
        <v>0</v>
      </c>
      <c r="AG135" s="39"/>
      <c r="AH135" s="39">
        <f>AE135+AF135</f>
        <v>0</v>
      </c>
      <c r="AI135" s="34">
        <f>0</f>
        <v>0</v>
      </c>
      <c r="AJ135" s="39">
        <f>0</f>
        <v>0</v>
      </c>
      <c r="AK135" s="39">
        <f>AI135+AJ135</f>
        <v>0</v>
      </c>
      <c r="AL135" s="210">
        <f t="shared" ref="AL135:AL145" si="94">SUM(AK135+AH135+AD135)-AA135</f>
        <v>0</v>
      </c>
    </row>
    <row r="136" spans="2:46" ht="24">
      <c r="B136" s="48" t="s">
        <v>28</v>
      </c>
      <c r="C136" s="13" t="s">
        <v>328</v>
      </c>
      <c r="D136" s="14"/>
      <c r="E136" s="201" t="s">
        <v>692</v>
      </c>
      <c r="F136" s="16" t="s">
        <v>318</v>
      </c>
      <c r="G136" s="10" t="s">
        <v>319</v>
      </c>
      <c r="H136" s="199">
        <v>2021</v>
      </c>
      <c r="I136" s="199">
        <v>2025</v>
      </c>
      <c r="J136" s="31">
        <f>'[1]Summary for IPSIS'!$H$110+'[1]Summary for IPSIS'!$I$110</f>
        <v>7680000</v>
      </c>
      <c r="K136" s="31">
        <f>'[1]Summary for IPSIS'!$J$110</f>
        <v>0</v>
      </c>
      <c r="L136" s="39">
        <f t="shared" ref="L136:L145" si="95">J136+K136</f>
        <v>7680000</v>
      </c>
      <c r="M136" s="31">
        <f>'[1]Summary for IPSIS'!$T$110+'[1]Summary for IPSIS'!$U$110</f>
        <v>7680000</v>
      </c>
      <c r="N136" s="31">
        <f>'[1]Summary for IPSIS'!$V$110</f>
        <v>0</v>
      </c>
      <c r="O136" s="39">
        <f t="shared" ref="O136:O145" si="96">M136+N136</f>
        <v>7680000</v>
      </c>
      <c r="P136" s="34">
        <f>'[1]Summary for IPSIS'!$AF$110+'[1]Summary for IPSIS'!$AG$110</f>
        <v>7680000</v>
      </c>
      <c r="Q136" s="39">
        <f>'[1]Summary for IPSIS'!$AH$110</f>
        <v>0</v>
      </c>
      <c r="R136" s="39">
        <f t="shared" ref="R136:R145" si="97">P136+Q136</f>
        <v>7680000</v>
      </c>
      <c r="S136" s="34">
        <f>'[1]Summary for IPSIS'!$AR$110+'[1]Summary for IPSIS'!$AS$110</f>
        <v>7680000</v>
      </c>
      <c r="T136" s="39">
        <f>'[1]Summary for IPSIS'!$AT$110</f>
        <v>0</v>
      </c>
      <c r="U136" s="39">
        <f t="shared" ref="U136:U145" si="98">S136+T136</f>
        <v>7680000</v>
      </c>
      <c r="V136" s="34">
        <f>'[1]Summary for IPSIS'!$BD$110+'[1]Summary for IPSIS'!$BE$110</f>
        <v>7680000</v>
      </c>
      <c r="W136" s="39">
        <f>'[1]Summary for IPSIS'!$BF$110</f>
        <v>0</v>
      </c>
      <c r="X136" s="39">
        <f t="shared" ref="X136:X145" si="99">V136+W136</f>
        <v>7680000</v>
      </c>
      <c r="Y136" s="39">
        <f t="shared" ref="Y136:Y145" si="100">J136+M136+P136+S136+V136</f>
        <v>38400000</v>
      </c>
      <c r="Z136" s="39">
        <f t="shared" ref="Z136:Z145" si="101">K136+N136+Q136+T136+W136</f>
        <v>0</v>
      </c>
      <c r="AA136" s="39">
        <f t="shared" ref="AA136:AA145" si="102">Y136+Z136</f>
        <v>38400000</v>
      </c>
      <c r="AB136" s="34">
        <f>7680000+7680000+7680000</f>
        <v>23040000</v>
      </c>
      <c r="AC136" s="39">
        <f>0</f>
        <v>0</v>
      </c>
      <c r="AD136" s="39">
        <f t="shared" ref="AD136:AD145" si="103">AB136+AC136</f>
        <v>23040000</v>
      </c>
      <c r="AE136" s="41">
        <f>0</f>
        <v>0</v>
      </c>
      <c r="AF136" s="41">
        <f>0</f>
        <v>0</v>
      </c>
      <c r="AG136" s="39"/>
      <c r="AH136" s="39">
        <f t="shared" ref="AH136:AH145" si="104">AE136+AF136</f>
        <v>0</v>
      </c>
      <c r="AI136" s="34">
        <f>7680000+7680000</f>
        <v>15360000</v>
      </c>
      <c r="AJ136" s="39">
        <f>0</f>
        <v>0</v>
      </c>
      <c r="AK136" s="39">
        <f t="shared" ref="AK136:AK145" si="105">AI136+AJ136</f>
        <v>15360000</v>
      </c>
      <c r="AL136" s="210">
        <f t="shared" si="94"/>
        <v>0</v>
      </c>
    </row>
    <row r="137" spans="2:46" ht="40.799999999999997" customHeight="1">
      <c r="B137" s="48" t="s">
        <v>29</v>
      </c>
      <c r="C137" s="13" t="s">
        <v>329</v>
      </c>
      <c r="D137" s="14"/>
      <c r="E137" s="189" t="s">
        <v>692</v>
      </c>
      <c r="F137" s="16" t="s">
        <v>318</v>
      </c>
      <c r="G137" s="10" t="s">
        <v>319</v>
      </c>
      <c r="H137" s="200">
        <v>2021</v>
      </c>
      <c r="I137" s="200">
        <v>2021</v>
      </c>
      <c r="J137" s="31">
        <f>'[1]Summary for IPSIS'!$H$111+'[1]Summary for IPSIS'!$I$111</f>
        <v>255592</v>
      </c>
      <c r="K137" s="31">
        <f>'[1]Summary for IPSIS'!$J$111</f>
        <v>0</v>
      </c>
      <c r="L137" s="39">
        <f t="shared" si="95"/>
        <v>255592</v>
      </c>
      <c r="M137" s="31">
        <f>'[1]Summary for IPSIS'!$T$111+'[1]Summary for IPSIS'!$U$111</f>
        <v>0</v>
      </c>
      <c r="N137" s="31">
        <f>'[1]Summary for IPSIS'!$V$111</f>
        <v>0</v>
      </c>
      <c r="O137" s="39">
        <f t="shared" si="96"/>
        <v>0</v>
      </c>
      <c r="P137" s="34">
        <f>'[1]Summary for IPSIS'!$AF$111+'[1]Summary for IPSIS'!$AG$111</f>
        <v>0</v>
      </c>
      <c r="Q137" s="39">
        <f>'[1]Summary for IPSIS'!$AH$111</f>
        <v>0</v>
      </c>
      <c r="R137" s="39">
        <f t="shared" si="97"/>
        <v>0</v>
      </c>
      <c r="S137" s="34">
        <f>'[1]Summary for IPSIS'!$AR$111+'[1]Summary for IPSIS'!$AS$111</f>
        <v>0</v>
      </c>
      <c r="T137" s="39">
        <f>'[1]Summary for IPSIS'!$AT$111</f>
        <v>0</v>
      </c>
      <c r="U137" s="39">
        <f t="shared" si="98"/>
        <v>0</v>
      </c>
      <c r="V137" s="34">
        <f>'[1]Summary for IPSIS'!$BD$111+'[1]Summary for IPSIS'!$BE$111</f>
        <v>0</v>
      </c>
      <c r="W137" s="39">
        <f>'[1]Summary for IPSIS'!$BF$111</f>
        <v>0</v>
      </c>
      <c r="X137" s="39">
        <f t="shared" si="99"/>
        <v>0</v>
      </c>
      <c r="Y137" s="39">
        <f t="shared" si="100"/>
        <v>255592</v>
      </c>
      <c r="Z137" s="39">
        <f t="shared" si="101"/>
        <v>0</v>
      </c>
      <c r="AA137" s="39">
        <f t="shared" si="102"/>
        <v>255592</v>
      </c>
      <c r="AB137" s="34">
        <f>255592</f>
        <v>255592</v>
      </c>
      <c r="AC137" s="39">
        <f>0</f>
        <v>0</v>
      </c>
      <c r="AD137" s="39">
        <f t="shared" si="103"/>
        <v>255592</v>
      </c>
      <c r="AE137" s="41">
        <f>0</f>
        <v>0</v>
      </c>
      <c r="AF137" s="41">
        <f>0</f>
        <v>0</v>
      </c>
      <c r="AG137" s="39"/>
      <c r="AH137" s="39">
        <f t="shared" si="104"/>
        <v>0</v>
      </c>
      <c r="AI137" s="34">
        <f>0</f>
        <v>0</v>
      </c>
      <c r="AJ137" s="39">
        <f>0</f>
        <v>0</v>
      </c>
      <c r="AK137" s="39">
        <f t="shared" si="105"/>
        <v>0</v>
      </c>
      <c r="AL137" s="210">
        <f t="shared" si="94"/>
        <v>0</v>
      </c>
    </row>
    <row r="138" spans="2:46" ht="42" customHeight="1">
      <c r="B138" s="48" t="s">
        <v>30</v>
      </c>
      <c r="C138" s="13" t="s">
        <v>330</v>
      </c>
      <c r="D138" s="14"/>
      <c r="E138" s="201" t="s">
        <v>692</v>
      </c>
      <c r="F138" s="16" t="s">
        <v>318</v>
      </c>
      <c r="G138" s="10" t="s">
        <v>319</v>
      </c>
      <c r="H138" s="199">
        <v>2021</v>
      </c>
      <c r="I138" s="199">
        <v>2025</v>
      </c>
      <c r="J138" s="31">
        <f>'[1]Summary for IPSIS'!$H$112+'[1]Summary for IPSIS'!$I$112</f>
        <v>316736</v>
      </c>
      <c r="K138" s="31">
        <f>'[1]Summary for IPSIS'!$J$112</f>
        <v>0</v>
      </c>
      <c r="L138" s="39">
        <f t="shared" si="95"/>
        <v>316736</v>
      </c>
      <c r="M138" s="31">
        <f>'[1]Summary for IPSIS'!$T$112+'[1]Summary for IPSIS'!$U$112</f>
        <v>316736</v>
      </c>
      <c r="N138" s="31">
        <f>'[1]Summary for IPSIS'!$V$112</f>
        <v>0</v>
      </c>
      <c r="O138" s="39">
        <f t="shared" si="96"/>
        <v>316736</v>
      </c>
      <c r="P138" s="34">
        <f>'[1]Summary for IPSIS'!$AF$112+'[1]Summary for IPSIS'!$AG$112</f>
        <v>316736</v>
      </c>
      <c r="Q138" s="39">
        <f>'[1]Summary for IPSIS'!$AH$112</f>
        <v>0</v>
      </c>
      <c r="R138" s="39">
        <f t="shared" si="97"/>
        <v>316736</v>
      </c>
      <c r="S138" s="34">
        <f>'[1]Summary for IPSIS'!$AR$112+'[1]Summary for IPSIS'!$AS$112</f>
        <v>316736</v>
      </c>
      <c r="T138" s="39">
        <f>'[1]Summary for IPSIS'!$AT$112</f>
        <v>0</v>
      </c>
      <c r="U138" s="39">
        <f t="shared" si="98"/>
        <v>316736</v>
      </c>
      <c r="V138" s="34">
        <f>'[1]Summary for IPSIS'!$BD$112+'[1]Summary for IPSIS'!$BE$112</f>
        <v>316736</v>
      </c>
      <c r="W138" s="39">
        <f>'[1]Summary for IPSIS'!$BF$112</f>
        <v>0</v>
      </c>
      <c r="X138" s="39">
        <f t="shared" si="99"/>
        <v>316736</v>
      </c>
      <c r="Y138" s="39">
        <f t="shared" si="100"/>
        <v>1583680</v>
      </c>
      <c r="Z138" s="39">
        <f t="shared" si="101"/>
        <v>0</v>
      </c>
      <c r="AA138" s="39">
        <f t="shared" si="102"/>
        <v>1583680</v>
      </c>
      <c r="AB138" s="34">
        <f>316736+316736+316736</f>
        <v>950208</v>
      </c>
      <c r="AC138" s="39">
        <f>0</f>
        <v>0</v>
      </c>
      <c r="AD138" s="39">
        <f t="shared" si="103"/>
        <v>950208</v>
      </c>
      <c r="AE138" s="41">
        <f>0</f>
        <v>0</v>
      </c>
      <c r="AF138" s="41">
        <f>0</f>
        <v>0</v>
      </c>
      <c r="AG138" s="39"/>
      <c r="AH138" s="39">
        <f t="shared" si="104"/>
        <v>0</v>
      </c>
      <c r="AI138" s="34">
        <f>316736+316736</f>
        <v>633472</v>
      </c>
      <c r="AJ138" s="39">
        <f>0</f>
        <v>0</v>
      </c>
      <c r="AK138" s="39">
        <f t="shared" si="105"/>
        <v>633472</v>
      </c>
      <c r="AL138" s="210">
        <f t="shared" si="94"/>
        <v>0</v>
      </c>
    </row>
    <row r="139" spans="2:46" ht="51.6" customHeight="1">
      <c r="B139" s="48" t="s">
        <v>31</v>
      </c>
      <c r="C139" s="13" t="s">
        <v>332</v>
      </c>
      <c r="D139" s="14"/>
      <c r="E139" s="201" t="s">
        <v>692</v>
      </c>
      <c r="F139" s="16" t="s">
        <v>318</v>
      </c>
      <c r="G139" s="10" t="s">
        <v>319</v>
      </c>
      <c r="H139" s="199">
        <v>2021</v>
      </c>
      <c r="I139" s="199">
        <v>2025</v>
      </c>
      <c r="J139" s="31">
        <f>'[1]Summary for IPSIS'!$H$113+'[1]Summary for IPSIS'!$I$113</f>
        <v>39592</v>
      </c>
      <c r="K139" s="31">
        <f>'[1]Summary for IPSIS'!$J$113</f>
        <v>0</v>
      </c>
      <c r="L139" s="39">
        <f t="shared" si="95"/>
        <v>39592</v>
      </c>
      <c r="M139" s="31">
        <f>'[1]Summary for IPSIS'!$T$113+'[1]Summary for IPSIS'!$U$113</f>
        <v>39592</v>
      </c>
      <c r="N139" s="31">
        <f>'[1]Summary for IPSIS'!$V$113</f>
        <v>0</v>
      </c>
      <c r="O139" s="39">
        <f t="shared" si="96"/>
        <v>39592</v>
      </c>
      <c r="P139" s="34">
        <f>'[1]Summary for IPSIS'!$AF$113+'[1]Summary for IPSIS'!$AG$113</f>
        <v>39592</v>
      </c>
      <c r="Q139" s="39">
        <f>'[1]Summary for IPSIS'!$AH$113</f>
        <v>0</v>
      </c>
      <c r="R139" s="39">
        <f t="shared" si="97"/>
        <v>39592</v>
      </c>
      <c r="S139" s="34">
        <f>'[1]Summary for IPSIS'!$AR$113+'[1]Summary for IPSIS'!$AS$113</f>
        <v>39592</v>
      </c>
      <c r="T139" s="39">
        <f>'[1]Summary for IPSIS'!$AT$113</f>
        <v>0</v>
      </c>
      <c r="U139" s="39">
        <f t="shared" si="98"/>
        <v>39592</v>
      </c>
      <c r="V139" s="34">
        <f>'[1]Summary for IPSIS'!$BD$113+'[1]Summary for IPSIS'!$BE$113</f>
        <v>39592</v>
      </c>
      <c r="W139" s="39">
        <f>'[1]Summary for IPSIS'!$BF$113</f>
        <v>0</v>
      </c>
      <c r="X139" s="39">
        <f t="shared" si="99"/>
        <v>39592</v>
      </c>
      <c r="Y139" s="39">
        <f t="shared" si="100"/>
        <v>197960</v>
      </c>
      <c r="Z139" s="39">
        <f t="shared" si="101"/>
        <v>0</v>
      </c>
      <c r="AA139" s="39">
        <f t="shared" si="102"/>
        <v>197960</v>
      </c>
      <c r="AB139" s="34">
        <f>39592+39592+39592</f>
        <v>118776</v>
      </c>
      <c r="AC139" s="39">
        <f>0</f>
        <v>0</v>
      </c>
      <c r="AD139" s="39">
        <f t="shared" si="103"/>
        <v>118776</v>
      </c>
      <c r="AE139" s="41">
        <f>0</f>
        <v>0</v>
      </c>
      <c r="AF139" s="41">
        <f>0</f>
        <v>0</v>
      </c>
      <c r="AG139" s="39"/>
      <c r="AH139" s="39">
        <f t="shared" si="104"/>
        <v>0</v>
      </c>
      <c r="AI139" s="34">
        <f>39592+39592</f>
        <v>79184</v>
      </c>
      <c r="AJ139" s="39">
        <f>0</f>
        <v>0</v>
      </c>
      <c r="AK139" s="39">
        <f t="shared" si="105"/>
        <v>79184</v>
      </c>
      <c r="AL139" s="210">
        <f t="shared" si="94"/>
        <v>0</v>
      </c>
    </row>
    <row r="140" spans="2:46" ht="42" customHeight="1">
      <c r="B140" s="48" t="s">
        <v>333</v>
      </c>
      <c r="C140" s="13" t="s">
        <v>339</v>
      </c>
      <c r="D140" s="14"/>
      <c r="E140" s="189" t="s">
        <v>692</v>
      </c>
      <c r="F140" s="16" t="s">
        <v>318</v>
      </c>
      <c r="G140" s="10" t="s">
        <v>319</v>
      </c>
      <c r="H140" s="200">
        <v>2021</v>
      </c>
      <c r="I140" s="200">
        <v>2025</v>
      </c>
      <c r="J140" s="31">
        <f>'[1]Summary for IPSIS'!$H$114+'[1]Summary for IPSIS'!$I$114</f>
        <v>376800</v>
      </c>
      <c r="K140" s="31">
        <f>'[1]Summary for IPSIS'!$J$114</f>
        <v>0</v>
      </c>
      <c r="L140" s="39">
        <f t="shared" si="95"/>
        <v>376800</v>
      </c>
      <c r="M140" s="31">
        <f>'[1]Summary for IPSIS'!$T$114+'[1]Summary for IPSIS'!$U$114</f>
        <v>376800</v>
      </c>
      <c r="N140" s="31">
        <f>'[1]Summary for IPSIS'!$V$114</f>
        <v>0</v>
      </c>
      <c r="O140" s="39">
        <f t="shared" si="96"/>
        <v>376800</v>
      </c>
      <c r="P140" s="34">
        <f>'[1]Summary for IPSIS'!$AF$114+'[1]Summary for IPSIS'!$AG$114</f>
        <v>376800</v>
      </c>
      <c r="Q140" s="39">
        <f>'[1]Summary for IPSIS'!$AH$114</f>
        <v>0</v>
      </c>
      <c r="R140" s="39">
        <f t="shared" si="97"/>
        <v>376800</v>
      </c>
      <c r="S140" s="34">
        <f>'[1]Summary for IPSIS'!$AR$114+'[1]Summary for IPSIS'!$AS$114</f>
        <v>376800</v>
      </c>
      <c r="T140" s="39">
        <f>'[1]Summary for IPSIS'!$AT$114</f>
        <v>0</v>
      </c>
      <c r="U140" s="39">
        <f t="shared" si="98"/>
        <v>376800</v>
      </c>
      <c r="V140" s="34">
        <f>'[1]Summary for IPSIS'!$BD$114+'[1]Summary for IPSIS'!$BE$114</f>
        <v>376800</v>
      </c>
      <c r="W140" s="39">
        <f>'[1]Summary for IPSIS'!$BF$114</f>
        <v>0</v>
      </c>
      <c r="X140" s="39">
        <f t="shared" si="99"/>
        <v>376800</v>
      </c>
      <c r="Y140" s="39">
        <f t="shared" si="100"/>
        <v>1884000</v>
      </c>
      <c r="Z140" s="39">
        <f t="shared" si="101"/>
        <v>0</v>
      </c>
      <c r="AA140" s="39">
        <f t="shared" si="102"/>
        <v>1884000</v>
      </c>
      <c r="AB140" s="34">
        <f>376800+376800+376800</f>
        <v>1130400</v>
      </c>
      <c r="AC140" s="39">
        <f>0</f>
        <v>0</v>
      </c>
      <c r="AD140" s="39">
        <f t="shared" si="103"/>
        <v>1130400</v>
      </c>
      <c r="AE140" s="41">
        <f>0</f>
        <v>0</v>
      </c>
      <c r="AF140" s="41">
        <f>0</f>
        <v>0</v>
      </c>
      <c r="AG140" s="39"/>
      <c r="AH140" s="39">
        <f t="shared" si="104"/>
        <v>0</v>
      </c>
      <c r="AI140" s="34">
        <f>376800+376800</f>
        <v>753600</v>
      </c>
      <c r="AJ140" s="39">
        <f>0</f>
        <v>0</v>
      </c>
      <c r="AK140" s="39">
        <f t="shared" si="105"/>
        <v>753600</v>
      </c>
      <c r="AL140" s="210">
        <f t="shared" si="94"/>
        <v>0</v>
      </c>
    </row>
    <row r="141" spans="2:46" ht="33.6" customHeight="1">
      <c r="B141" s="48" t="s">
        <v>334</v>
      </c>
      <c r="C141" s="13" t="s">
        <v>340</v>
      </c>
      <c r="D141" s="14"/>
      <c r="E141" s="201" t="s">
        <v>692</v>
      </c>
      <c r="F141" s="16" t="s">
        <v>318</v>
      </c>
      <c r="G141" s="10" t="s">
        <v>319</v>
      </c>
      <c r="H141" s="199">
        <v>2025</v>
      </c>
      <c r="I141" s="199">
        <v>2025</v>
      </c>
      <c r="J141" s="31">
        <f>'[1]Summary for IPSIS'!$H$115+'[1]Summary for IPSIS'!$I$115</f>
        <v>0</v>
      </c>
      <c r="K141" s="31">
        <f>'[1]Summary for IPSIS'!$J$115</f>
        <v>0</v>
      </c>
      <c r="L141" s="39">
        <f t="shared" si="95"/>
        <v>0</v>
      </c>
      <c r="M141" s="31">
        <f>'[1]Summary for IPSIS'!$T$115+'[1]Summary for IPSIS'!$U$115</f>
        <v>0</v>
      </c>
      <c r="N141" s="31">
        <f>'[1]Summary for IPSIS'!$V$115</f>
        <v>0</v>
      </c>
      <c r="O141" s="39">
        <f t="shared" si="96"/>
        <v>0</v>
      </c>
      <c r="P141" s="34">
        <f>'[1]Summary for IPSIS'!$AF$115+'[1]Summary for IPSIS'!$AG$115</f>
        <v>0</v>
      </c>
      <c r="Q141" s="39">
        <f>'[1]Summary for IPSIS'!$AH$115</f>
        <v>0</v>
      </c>
      <c r="R141" s="39">
        <f t="shared" si="97"/>
        <v>0</v>
      </c>
      <c r="S141" s="34">
        <f>'[1]Summary for IPSIS'!$AR$115+'[1]Summary for IPSIS'!$AS$115</f>
        <v>0</v>
      </c>
      <c r="T141" s="39">
        <f>'[1]Summary for IPSIS'!$AT$115</f>
        <v>0</v>
      </c>
      <c r="U141" s="39">
        <f t="shared" si="98"/>
        <v>0</v>
      </c>
      <c r="V141" s="34">
        <f>'[1]Summary for IPSIS'!$BD$115+'[1]Summary for IPSIS'!$BE$115</f>
        <v>6000000</v>
      </c>
      <c r="W141" s="39">
        <f>'[1]Summary for IPSIS'!$BF$115</f>
        <v>0</v>
      </c>
      <c r="X141" s="39">
        <f t="shared" si="99"/>
        <v>6000000</v>
      </c>
      <c r="Y141" s="39">
        <f t="shared" si="100"/>
        <v>6000000</v>
      </c>
      <c r="Z141" s="39">
        <f t="shared" si="101"/>
        <v>0</v>
      </c>
      <c r="AA141" s="39">
        <f t="shared" si="102"/>
        <v>6000000</v>
      </c>
      <c r="AB141" s="34">
        <f>0</f>
        <v>0</v>
      </c>
      <c r="AC141" s="39">
        <f>0</f>
        <v>0</v>
      </c>
      <c r="AD141" s="39">
        <f t="shared" si="103"/>
        <v>0</v>
      </c>
      <c r="AE141" s="41">
        <f>0</f>
        <v>0</v>
      </c>
      <c r="AF141" s="41">
        <f>0</f>
        <v>0</v>
      </c>
      <c r="AG141" s="39"/>
      <c r="AH141" s="39">
        <f t="shared" si="104"/>
        <v>0</v>
      </c>
      <c r="AI141" s="34">
        <f>0+6000000</f>
        <v>6000000</v>
      </c>
      <c r="AJ141" s="39">
        <f>0</f>
        <v>0</v>
      </c>
      <c r="AK141" s="39">
        <f t="shared" si="105"/>
        <v>6000000</v>
      </c>
      <c r="AL141" s="210">
        <f t="shared" si="94"/>
        <v>0</v>
      </c>
    </row>
    <row r="142" spans="2:46" ht="42" customHeight="1">
      <c r="B142" s="48" t="s">
        <v>335</v>
      </c>
      <c r="C142" s="13" t="s">
        <v>341</v>
      </c>
      <c r="D142" s="14"/>
      <c r="E142" s="201" t="s">
        <v>694</v>
      </c>
      <c r="F142" s="16" t="s">
        <v>318</v>
      </c>
      <c r="G142" s="10" t="s">
        <v>319</v>
      </c>
      <c r="H142" s="199">
        <v>2021</v>
      </c>
      <c r="I142" s="199">
        <v>2025</v>
      </c>
      <c r="J142" s="31">
        <f>'[1]Summary for IPSIS'!$H$116+'[1]Summary for IPSIS'!$I$116</f>
        <v>361760</v>
      </c>
      <c r="K142" s="31">
        <f>'[1]Summary for IPSIS'!$J$116</f>
        <v>0</v>
      </c>
      <c r="L142" s="39">
        <f t="shared" si="95"/>
        <v>361760</v>
      </c>
      <c r="M142" s="31">
        <f>'[1]Summary for IPSIS'!$T$116+'[1]Summary for IPSIS'!$U$116</f>
        <v>288000</v>
      </c>
      <c r="N142" s="31">
        <f>'[1]Summary for IPSIS'!$V$116</f>
        <v>0</v>
      </c>
      <c r="O142" s="39">
        <f t="shared" si="96"/>
        <v>288000</v>
      </c>
      <c r="P142" s="34">
        <f>'[1]Summary for IPSIS'!$AF$116+'[1]Summary for IPSIS'!$AG$116</f>
        <v>288000</v>
      </c>
      <c r="Q142" s="39">
        <f>'[1]Summary for IPSIS'!$AH$116</f>
        <v>0</v>
      </c>
      <c r="R142" s="39">
        <f t="shared" si="97"/>
        <v>288000</v>
      </c>
      <c r="S142" s="34">
        <f>'[1]Summary for IPSIS'!$AR$116+'[1]Summary for IPSIS'!$AS$116</f>
        <v>288000</v>
      </c>
      <c r="T142" s="39">
        <f>'[1]Summary for IPSIS'!$AT$116</f>
        <v>0</v>
      </c>
      <c r="U142" s="39">
        <f t="shared" si="98"/>
        <v>288000</v>
      </c>
      <c r="V142" s="34">
        <f>'[1]Summary for IPSIS'!$BD$116+'[1]Summary for IPSIS'!$BE$116</f>
        <v>288000</v>
      </c>
      <c r="W142" s="39">
        <f>'[1]Summary for IPSIS'!$BF$116</f>
        <v>0</v>
      </c>
      <c r="X142" s="39">
        <f t="shared" si="99"/>
        <v>288000</v>
      </c>
      <c r="Y142" s="39">
        <f t="shared" si="100"/>
        <v>1513760</v>
      </c>
      <c r="Z142" s="39">
        <f t="shared" si="101"/>
        <v>0</v>
      </c>
      <c r="AA142" s="39">
        <f t="shared" si="102"/>
        <v>1513760</v>
      </c>
      <c r="AB142" s="34">
        <f>361760+288000+288000</f>
        <v>937760</v>
      </c>
      <c r="AC142" s="39">
        <f>0</f>
        <v>0</v>
      </c>
      <c r="AD142" s="39">
        <f t="shared" si="103"/>
        <v>937760</v>
      </c>
      <c r="AE142" s="41">
        <f>0</f>
        <v>0</v>
      </c>
      <c r="AF142" s="41">
        <f>0</f>
        <v>0</v>
      </c>
      <c r="AG142" s="39"/>
      <c r="AH142" s="39">
        <f t="shared" si="104"/>
        <v>0</v>
      </c>
      <c r="AI142" s="34">
        <f>288000+288000</f>
        <v>576000</v>
      </c>
      <c r="AJ142" s="39">
        <f>0</f>
        <v>0</v>
      </c>
      <c r="AK142" s="39">
        <f t="shared" si="105"/>
        <v>576000</v>
      </c>
      <c r="AL142" s="210">
        <f t="shared" si="94"/>
        <v>0</v>
      </c>
    </row>
    <row r="143" spans="2:46" ht="42" customHeight="1">
      <c r="B143" s="48" t="s">
        <v>336</v>
      </c>
      <c r="C143" s="13" t="s">
        <v>342</v>
      </c>
      <c r="D143" s="14"/>
      <c r="E143" s="201" t="s">
        <v>692</v>
      </c>
      <c r="F143" s="16" t="s">
        <v>318</v>
      </c>
      <c r="G143" s="10" t="s">
        <v>319</v>
      </c>
      <c r="H143" s="199">
        <v>2021</v>
      </c>
      <c r="I143" s="199">
        <v>2025</v>
      </c>
      <c r="J143" s="31">
        <f>'[1]Summary for IPSIS'!$H$117+'[1]Summary for IPSIS'!$I$117</f>
        <v>361760</v>
      </c>
      <c r="K143" s="31">
        <f>'[1]Summary for IPSIS'!$J$117</f>
        <v>0</v>
      </c>
      <c r="L143" s="39">
        <f t="shared" si="95"/>
        <v>361760</v>
      </c>
      <c r="M143" s="31">
        <f>'[1]Summary for IPSIS'!$T$117+'[1]Summary for IPSIS'!$U$117</f>
        <v>871024</v>
      </c>
      <c r="N143" s="31">
        <f>'[1]Summary for IPSIS'!$V$117</f>
        <v>0</v>
      </c>
      <c r="O143" s="39">
        <f t="shared" si="96"/>
        <v>871024</v>
      </c>
      <c r="P143" s="34">
        <f>'[1]Summary for IPSIS'!$AF$117+'[1]Summary for IPSIS'!$AG$117</f>
        <v>871024</v>
      </c>
      <c r="Q143" s="39">
        <f>'[1]Summary for IPSIS'!$AH$117</f>
        <v>0</v>
      </c>
      <c r="R143" s="39">
        <f t="shared" si="97"/>
        <v>871024</v>
      </c>
      <c r="S143" s="34">
        <f>'[1]Summary for IPSIS'!$AR$117+'[1]Summary for IPSIS'!$AS$117</f>
        <v>871024</v>
      </c>
      <c r="T143" s="39">
        <f>'[1]Summary for IPSIS'!$AT$117</f>
        <v>0</v>
      </c>
      <c r="U143" s="39">
        <f t="shared" si="98"/>
        <v>871024</v>
      </c>
      <c r="V143" s="34">
        <f>'[1]Summary for IPSIS'!$BD$117+'[1]Summary for IPSIS'!$BE$117</f>
        <v>871024</v>
      </c>
      <c r="W143" s="39">
        <f>'[1]Summary for IPSIS'!$BF$117</f>
        <v>0</v>
      </c>
      <c r="X143" s="39">
        <f t="shared" si="99"/>
        <v>871024</v>
      </c>
      <c r="Y143" s="39">
        <f t="shared" si="100"/>
        <v>3845856</v>
      </c>
      <c r="Z143" s="39">
        <f t="shared" si="101"/>
        <v>0</v>
      </c>
      <c r="AA143" s="39">
        <f t="shared" si="102"/>
        <v>3845856</v>
      </c>
      <c r="AB143" s="34">
        <f>361760+871024+871024</f>
        <v>2103808</v>
      </c>
      <c r="AC143" s="39">
        <f>0</f>
        <v>0</v>
      </c>
      <c r="AD143" s="39">
        <f t="shared" si="103"/>
        <v>2103808</v>
      </c>
      <c r="AE143" s="41">
        <f>0</f>
        <v>0</v>
      </c>
      <c r="AF143" s="41">
        <f>0</f>
        <v>0</v>
      </c>
      <c r="AG143" s="39"/>
      <c r="AH143" s="39">
        <f t="shared" si="104"/>
        <v>0</v>
      </c>
      <c r="AI143" s="34">
        <f>871024+871024</f>
        <v>1742048</v>
      </c>
      <c r="AJ143" s="39">
        <f>0</f>
        <v>0</v>
      </c>
      <c r="AK143" s="39">
        <f t="shared" si="105"/>
        <v>1742048</v>
      </c>
      <c r="AL143" s="210">
        <f t="shared" si="94"/>
        <v>0</v>
      </c>
    </row>
    <row r="144" spans="2:46" ht="31.2" customHeight="1">
      <c r="B144" s="48" t="s">
        <v>337</v>
      </c>
      <c r="C144" s="13" t="s">
        <v>343</v>
      </c>
      <c r="D144" s="14"/>
      <c r="E144" s="201" t="s">
        <v>692</v>
      </c>
      <c r="F144" s="16" t="s">
        <v>318</v>
      </c>
      <c r="G144" s="10" t="s">
        <v>319</v>
      </c>
      <c r="H144" s="199">
        <v>2021</v>
      </c>
      <c r="I144" s="199">
        <v>2025</v>
      </c>
      <c r="J144" s="31">
        <f>'[1]Summary for IPSIS'!$H$118+'[1]Summary for IPSIS'!$I$118</f>
        <v>300000</v>
      </c>
      <c r="K144" s="31">
        <f>'[1]Summary for IPSIS'!$J$118</f>
        <v>0</v>
      </c>
      <c r="L144" s="39">
        <f t="shared" si="95"/>
        <v>300000</v>
      </c>
      <c r="M144" s="31">
        <f>'[1]Summary for IPSIS'!$T$118+'[1]Summary for IPSIS'!$U$118</f>
        <v>300000</v>
      </c>
      <c r="N144" s="31">
        <f>'[1]Summary for IPSIS'!$V$118</f>
        <v>0</v>
      </c>
      <c r="O144" s="39">
        <f t="shared" si="96"/>
        <v>300000</v>
      </c>
      <c r="P144" s="34">
        <f>'[1]Summary for IPSIS'!$AF$118+'[1]Summary for IPSIS'!$AG$118</f>
        <v>300000</v>
      </c>
      <c r="Q144" s="39">
        <f>'[1]Summary for IPSIS'!$AH$118</f>
        <v>0</v>
      </c>
      <c r="R144" s="39">
        <f t="shared" si="97"/>
        <v>300000</v>
      </c>
      <c r="S144" s="34">
        <f>'[1]Summary for IPSIS'!$AR$118+'[1]Summary for IPSIS'!$AS$118</f>
        <v>300000</v>
      </c>
      <c r="T144" s="39">
        <f>'[1]Summary for IPSIS'!$AT$118</f>
        <v>0</v>
      </c>
      <c r="U144" s="39">
        <f t="shared" si="98"/>
        <v>300000</v>
      </c>
      <c r="V144" s="34">
        <f>'[1]Summary for IPSIS'!$BD$118+'[1]Summary for IPSIS'!$BE$118</f>
        <v>300000</v>
      </c>
      <c r="W144" s="39">
        <f>'[1]Summary for IPSIS'!$BF$118</f>
        <v>0</v>
      </c>
      <c r="X144" s="39">
        <f t="shared" si="99"/>
        <v>300000</v>
      </c>
      <c r="Y144" s="39">
        <f t="shared" si="100"/>
        <v>1500000</v>
      </c>
      <c r="Z144" s="39">
        <f t="shared" si="101"/>
        <v>0</v>
      </c>
      <c r="AA144" s="39">
        <f t="shared" si="102"/>
        <v>1500000</v>
      </c>
      <c r="AB144" s="34">
        <f>300000+300000+300000</f>
        <v>900000</v>
      </c>
      <c r="AC144" s="39">
        <f>0</f>
        <v>0</v>
      </c>
      <c r="AD144" s="39">
        <f t="shared" si="103"/>
        <v>900000</v>
      </c>
      <c r="AE144" s="41">
        <f>0</f>
        <v>0</v>
      </c>
      <c r="AF144" s="41">
        <f>0</f>
        <v>0</v>
      </c>
      <c r="AG144" s="39"/>
      <c r="AH144" s="39">
        <f t="shared" si="104"/>
        <v>0</v>
      </c>
      <c r="AI144" s="34">
        <f>300000+300000</f>
        <v>600000</v>
      </c>
      <c r="AJ144" s="39">
        <f>0</f>
        <v>0</v>
      </c>
      <c r="AK144" s="39">
        <f t="shared" si="105"/>
        <v>600000</v>
      </c>
      <c r="AL144" s="210">
        <f t="shared" si="94"/>
        <v>0</v>
      </c>
    </row>
    <row r="145" spans="2:46" ht="33" customHeight="1" thickBot="1">
      <c r="B145" s="233" t="s">
        <v>338</v>
      </c>
      <c r="C145" s="238" t="s">
        <v>344</v>
      </c>
      <c r="D145" s="178"/>
      <c r="E145" s="220" t="s">
        <v>429</v>
      </c>
      <c r="F145" s="239" t="s">
        <v>168</v>
      </c>
      <c r="G145" s="76" t="s">
        <v>774</v>
      </c>
      <c r="H145" s="235">
        <v>2021</v>
      </c>
      <c r="I145" s="235">
        <v>2025</v>
      </c>
      <c r="J145" s="215">
        <f>'[1]Summary for IPSIS'!$H$119+'[1]Summary for IPSIS'!$I$119</f>
        <v>618000</v>
      </c>
      <c r="K145" s="215">
        <f>'[1]Summary for IPSIS'!$J$119</f>
        <v>0</v>
      </c>
      <c r="L145" s="82">
        <f t="shared" si="95"/>
        <v>618000</v>
      </c>
      <c r="M145" s="215">
        <f>'[1]Summary for IPSIS'!$T$119+'[1]Summary for IPSIS'!$U$119</f>
        <v>618000</v>
      </c>
      <c r="N145" s="215">
        <f>'[1]Summary for IPSIS'!$V$119</f>
        <v>0</v>
      </c>
      <c r="O145" s="82">
        <f t="shared" si="96"/>
        <v>618000</v>
      </c>
      <c r="P145" s="234">
        <f>'[1]Summary for IPSIS'!$AF$119+'[1]Summary for IPSIS'!$AG$119</f>
        <v>618000</v>
      </c>
      <c r="Q145" s="82">
        <f>'[1]Summary for IPSIS'!$AH$119</f>
        <v>0</v>
      </c>
      <c r="R145" s="82">
        <f t="shared" si="97"/>
        <v>618000</v>
      </c>
      <c r="S145" s="234">
        <f>'[1]Summary for IPSIS'!$AR$119+'[1]Summary for IPSIS'!$AS$119</f>
        <v>618000</v>
      </c>
      <c r="T145" s="82">
        <f>'[1]Summary for IPSIS'!$AT$119</f>
        <v>0</v>
      </c>
      <c r="U145" s="82">
        <f t="shared" si="98"/>
        <v>618000</v>
      </c>
      <c r="V145" s="234">
        <f>'[1]Summary for IPSIS'!$BD$119+'[1]Summary for IPSIS'!$BE$119</f>
        <v>618000</v>
      </c>
      <c r="W145" s="82">
        <f>'[1]Summary for IPSIS'!$BF$119</f>
        <v>0</v>
      </c>
      <c r="X145" s="82">
        <f t="shared" si="99"/>
        <v>618000</v>
      </c>
      <c r="Y145" s="82">
        <f t="shared" si="100"/>
        <v>3090000</v>
      </c>
      <c r="Z145" s="82">
        <f t="shared" si="101"/>
        <v>0</v>
      </c>
      <c r="AA145" s="82">
        <f t="shared" si="102"/>
        <v>3090000</v>
      </c>
      <c r="AB145" s="234">
        <f>618000+618000+618000</f>
        <v>1854000</v>
      </c>
      <c r="AC145" s="82">
        <f>0</f>
        <v>0</v>
      </c>
      <c r="AD145" s="82">
        <f t="shared" si="103"/>
        <v>1854000</v>
      </c>
      <c r="AE145" s="74">
        <f>0</f>
        <v>0</v>
      </c>
      <c r="AF145" s="74">
        <f>0</f>
        <v>0</v>
      </c>
      <c r="AG145" s="82"/>
      <c r="AH145" s="82">
        <f t="shared" si="104"/>
        <v>0</v>
      </c>
      <c r="AI145" s="234">
        <f>618000+618000</f>
        <v>1236000</v>
      </c>
      <c r="AJ145" s="82">
        <f>0</f>
        <v>0</v>
      </c>
      <c r="AK145" s="82">
        <f t="shared" si="105"/>
        <v>1236000</v>
      </c>
      <c r="AL145" s="217">
        <f t="shared" si="94"/>
        <v>0</v>
      </c>
    </row>
    <row r="146" spans="2:46" s="6" customFormat="1" ht="21.6" customHeight="1" thickBot="1">
      <c r="B146" s="58"/>
      <c r="C146" s="65" t="s">
        <v>72</v>
      </c>
      <c r="D146" s="66"/>
      <c r="E146" s="66"/>
      <c r="F146" s="56"/>
      <c r="G146" s="56"/>
      <c r="H146" s="56"/>
      <c r="I146" s="56"/>
      <c r="J146" s="57">
        <f t="shared" ref="J146:AL146" si="106">SUM(J135:J145)</f>
        <v>17888000</v>
      </c>
      <c r="K146" s="57">
        <f t="shared" si="106"/>
        <v>0</v>
      </c>
      <c r="L146" s="57">
        <f t="shared" si="106"/>
        <v>17888000</v>
      </c>
      <c r="M146" s="57">
        <f t="shared" si="106"/>
        <v>10490152</v>
      </c>
      <c r="N146" s="57">
        <f t="shared" si="106"/>
        <v>0</v>
      </c>
      <c r="O146" s="57">
        <f t="shared" si="106"/>
        <v>10490152</v>
      </c>
      <c r="P146" s="57">
        <f t="shared" si="106"/>
        <v>10490152</v>
      </c>
      <c r="Q146" s="57">
        <f t="shared" si="106"/>
        <v>0</v>
      </c>
      <c r="R146" s="57">
        <f t="shared" si="106"/>
        <v>10490152</v>
      </c>
      <c r="S146" s="57">
        <f t="shared" si="106"/>
        <v>10490152</v>
      </c>
      <c r="T146" s="57">
        <f t="shared" si="106"/>
        <v>0</v>
      </c>
      <c r="U146" s="57">
        <f t="shared" si="106"/>
        <v>10490152</v>
      </c>
      <c r="V146" s="57">
        <f t="shared" si="106"/>
        <v>16490152</v>
      </c>
      <c r="W146" s="57">
        <f t="shared" si="106"/>
        <v>0</v>
      </c>
      <c r="X146" s="57">
        <f t="shared" si="106"/>
        <v>16490152</v>
      </c>
      <c r="Y146" s="57">
        <f t="shared" si="106"/>
        <v>65848608</v>
      </c>
      <c r="Z146" s="57">
        <f t="shared" si="106"/>
        <v>0</v>
      </c>
      <c r="AA146" s="57">
        <f t="shared" si="106"/>
        <v>65848608</v>
      </c>
      <c r="AB146" s="57">
        <f t="shared" si="106"/>
        <v>38868304</v>
      </c>
      <c r="AC146" s="57">
        <f t="shared" si="106"/>
        <v>0</v>
      </c>
      <c r="AD146" s="57">
        <f t="shared" si="106"/>
        <v>38868304</v>
      </c>
      <c r="AE146" s="57">
        <f t="shared" si="106"/>
        <v>0</v>
      </c>
      <c r="AF146" s="57">
        <f t="shared" si="106"/>
        <v>0</v>
      </c>
      <c r="AG146" s="57"/>
      <c r="AH146" s="57">
        <f t="shared" si="106"/>
        <v>0</v>
      </c>
      <c r="AI146" s="57">
        <f t="shared" si="106"/>
        <v>26980304</v>
      </c>
      <c r="AJ146" s="57">
        <f t="shared" si="106"/>
        <v>0</v>
      </c>
      <c r="AK146" s="57">
        <f t="shared" si="106"/>
        <v>26980304</v>
      </c>
      <c r="AL146" s="218">
        <f t="shared" si="106"/>
        <v>0</v>
      </c>
      <c r="AM146" s="36"/>
      <c r="AN146" s="149"/>
      <c r="AO146" s="36"/>
      <c r="AP146" s="36"/>
      <c r="AQ146" s="36"/>
      <c r="AR146" s="36"/>
      <c r="AS146" s="36"/>
      <c r="AT146" s="36"/>
    </row>
    <row r="147" spans="2:46" ht="48" customHeight="1">
      <c r="B147" s="161">
        <v>3.3</v>
      </c>
      <c r="C147" s="283" t="s">
        <v>142</v>
      </c>
      <c r="D147" s="284"/>
      <c r="E147" s="208"/>
      <c r="F147" s="75"/>
      <c r="G147" s="75"/>
      <c r="H147" s="81"/>
      <c r="I147" s="81"/>
      <c r="J147" s="80"/>
      <c r="K147" s="80"/>
      <c r="L147" s="78"/>
      <c r="M147" s="80"/>
      <c r="N147" s="80"/>
      <c r="O147" s="78"/>
      <c r="P147" s="80"/>
      <c r="Q147" s="78"/>
      <c r="R147" s="78"/>
      <c r="S147" s="80"/>
      <c r="T147" s="78"/>
      <c r="U147" s="78"/>
      <c r="V147" s="80"/>
      <c r="W147" s="78"/>
      <c r="X147" s="78"/>
      <c r="Y147" s="78"/>
      <c r="Z147" s="78"/>
      <c r="AA147" s="78"/>
      <c r="AB147" s="80"/>
      <c r="AC147" s="78"/>
      <c r="AD147" s="78"/>
      <c r="AE147" s="80"/>
      <c r="AF147" s="78"/>
      <c r="AG147" s="78"/>
      <c r="AH147" s="78"/>
      <c r="AI147" s="80"/>
      <c r="AJ147" s="78"/>
      <c r="AK147" s="78"/>
      <c r="AL147" s="79"/>
    </row>
    <row r="148" spans="2:46" ht="21" customHeight="1">
      <c r="B148" s="162"/>
      <c r="C148" s="113" t="s">
        <v>141</v>
      </c>
      <c r="D148" s="60"/>
      <c r="E148" s="60"/>
      <c r="F148" s="18"/>
      <c r="G148" s="18"/>
      <c r="H148" s="15"/>
      <c r="I148" s="15"/>
      <c r="J148" s="34"/>
      <c r="K148" s="34"/>
      <c r="L148" s="39"/>
      <c r="M148" s="34"/>
      <c r="N148" s="34"/>
      <c r="O148" s="39"/>
      <c r="P148" s="34"/>
      <c r="Q148" s="39"/>
      <c r="R148" s="39"/>
      <c r="S148" s="34"/>
      <c r="T148" s="39"/>
      <c r="U148" s="39"/>
      <c r="V148" s="34"/>
      <c r="W148" s="39"/>
      <c r="X148" s="39"/>
      <c r="Y148" s="39"/>
      <c r="Z148" s="39"/>
      <c r="AA148" s="39"/>
      <c r="AB148" s="34"/>
      <c r="AC148" s="39"/>
      <c r="AD148" s="39"/>
      <c r="AE148" s="34"/>
      <c r="AF148" s="39"/>
      <c r="AG148" s="39"/>
      <c r="AH148" s="39"/>
      <c r="AI148" s="34"/>
      <c r="AJ148" s="39"/>
      <c r="AK148" s="39"/>
      <c r="AL148" s="40"/>
    </row>
    <row r="149" spans="2:46" ht="36">
      <c r="B149" s="48" t="s">
        <v>32</v>
      </c>
      <c r="C149" s="188" t="s">
        <v>345</v>
      </c>
      <c r="D149" s="46"/>
      <c r="E149" s="189" t="s">
        <v>692</v>
      </c>
      <c r="F149" s="16" t="s">
        <v>318</v>
      </c>
      <c r="G149" s="10" t="s">
        <v>319</v>
      </c>
      <c r="H149" s="181">
        <v>2021</v>
      </c>
      <c r="I149" s="181">
        <v>2021</v>
      </c>
      <c r="J149" s="41">
        <f>'[1]Summary for IPSIS'!$H$121+'[1]Summary for IPSIS'!$I$121</f>
        <v>723520</v>
      </c>
      <c r="K149" s="37">
        <f>'[1]Summary for IPSIS'!$J$121</f>
        <v>0</v>
      </c>
      <c r="L149" s="37">
        <f>SUM(J149:K149)</f>
        <v>723520</v>
      </c>
      <c r="M149" s="41">
        <f>'[1]Summary for IPSIS'!$T$121+'[1]Summary for IPSIS'!$U$121</f>
        <v>0</v>
      </c>
      <c r="N149" s="37">
        <f>'[1]Summary for IPSIS'!$V$121</f>
        <v>0</v>
      </c>
      <c r="O149" s="37">
        <f>SUM(M149:N149)</f>
        <v>0</v>
      </c>
      <c r="P149" s="41">
        <f>'[1]Summary for IPSIS'!$AF$121+'[1]Summary for IPSIS'!$AG$121</f>
        <v>0</v>
      </c>
      <c r="Q149" s="37">
        <f>'[1]Summary for IPSIS'!$AH$121</f>
        <v>0</v>
      </c>
      <c r="R149" s="37">
        <f>SUM(P149:Q149)</f>
        <v>0</v>
      </c>
      <c r="S149" s="41">
        <f>'[1]Summary for IPSIS'!$AR$121+'[1]Summary for IPSIS'!$AS$121</f>
        <v>0</v>
      </c>
      <c r="T149" s="37">
        <f>'[1]Summary for IPSIS'!$AT$121</f>
        <v>0</v>
      </c>
      <c r="U149" s="37">
        <f>SUM(S149:T149)</f>
        <v>0</v>
      </c>
      <c r="V149" s="41">
        <f>'[1]Summary for IPSIS'!$BD$121+'[1]Summary for IPSIS'!$BE$121</f>
        <v>0</v>
      </c>
      <c r="W149" s="37">
        <f>'[1]Summary for IPSIS'!$BF$121</f>
        <v>0</v>
      </c>
      <c r="X149" s="37">
        <f>SUM(V149:W149)</f>
        <v>0</v>
      </c>
      <c r="Y149" s="37">
        <f>J149+M149+P149+S149+V149</f>
        <v>723520</v>
      </c>
      <c r="Z149" s="37">
        <f>K149+N149+Q149+T149+W149</f>
        <v>0</v>
      </c>
      <c r="AA149" s="37">
        <f>SUM(Y149:Z149)</f>
        <v>723520</v>
      </c>
      <c r="AB149" s="34">
        <f>723520</f>
        <v>723520</v>
      </c>
      <c r="AC149" s="39">
        <f>0</f>
        <v>0</v>
      </c>
      <c r="AD149" s="39">
        <f>SUM(AB149:AC149)</f>
        <v>723520</v>
      </c>
      <c r="AE149" s="41">
        <f>0</f>
        <v>0</v>
      </c>
      <c r="AF149" s="39">
        <f>0</f>
        <v>0</v>
      </c>
      <c r="AG149" s="39"/>
      <c r="AH149" s="39">
        <f>SUM(AE149:AF149)</f>
        <v>0</v>
      </c>
      <c r="AI149" s="34">
        <f>0</f>
        <v>0</v>
      </c>
      <c r="AJ149" s="39">
        <f>0</f>
        <v>0</v>
      </c>
      <c r="AK149" s="39">
        <f>SUM(AI149:AJ149)</f>
        <v>0</v>
      </c>
      <c r="AL149" s="210">
        <f t="shared" ref="AL149:AL157" si="107">SUM(AK149+AH149+AD149)-AA149</f>
        <v>0</v>
      </c>
    </row>
    <row r="150" spans="2:46" ht="36">
      <c r="B150" s="48" t="s">
        <v>33</v>
      </c>
      <c r="C150" s="186" t="s">
        <v>351</v>
      </c>
      <c r="D150" s="46"/>
      <c r="E150" s="201" t="s">
        <v>692</v>
      </c>
      <c r="F150" s="16" t="s">
        <v>318</v>
      </c>
      <c r="G150" s="10" t="s">
        <v>319</v>
      </c>
      <c r="H150" s="198">
        <v>2021</v>
      </c>
      <c r="I150" s="198">
        <v>2022</v>
      </c>
      <c r="J150" s="41">
        <f>'[1]Summary for IPSIS'!$H$122+'[1]Summary for IPSIS'!$I$122</f>
        <v>813600</v>
      </c>
      <c r="K150" s="37">
        <f>'[1]Summary for IPSIS'!$J$122</f>
        <v>0</v>
      </c>
      <c r="L150" s="37">
        <f t="shared" ref="L150:L157" si="108">SUM(J150:K150)</f>
        <v>813600</v>
      </c>
      <c r="M150" s="41">
        <f>'[1]Summary for IPSIS'!$T$122+'[1]Summary for IPSIS'!$U$122</f>
        <v>813600</v>
      </c>
      <c r="N150" s="37">
        <f>'[1]Summary for IPSIS'!$V$122</f>
        <v>0</v>
      </c>
      <c r="O150" s="37">
        <f t="shared" ref="O150:O157" si="109">SUM(M150:N150)</f>
        <v>813600</v>
      </c>
      <c r="P150" s="41">
        <f>'[1]Summary for IPSIS'!$AF$122+'[1]Summary for IPSIS'!$AG$122</f>
        <v>0</v>
      </c>
      <c r="Q150" s="37">
        <f>'[1]Summary for IPSIS'!$AH$122</f>
        <v>0</v>
      </c>
      <c r="R150" s="37">
        <f t="shared" ref="R150:R157" si="110">SUM(P150:Q150)</f>
        <v>0</v>
      </c>
      <c r="S150" s="41">
        <f>'[1]Summary for IPSIS'!$AR$122+'[1]Summary for IPSIS'!$AS$122</f>
        <v>0</v>
      </c>
      <c r="T150" s="37">
        <f>'[1]Summary for IPSIS'!$AT$122</f>
        <v>0</v>
      </c>
      <c r="U150" s="37">
        <f t="shared" ref="U150:U157" si="111">SUM(S150:T150)</f>
        <v>0</v>
      </c>
      <c r="V150" s="41">
        <f>'[1]Summary for IPSIS'!$BD$122+'[1]Summary for IPSIS'!$BE$122</f>
        <v>0</v>
      </c>
      <c r="W150" s="37">
        <f>'[1]Summary for IPSIS'!$BF$122</f>
        <v>0</v>
      </c>
      <c r="X150" s="37">
        <f t="shared" ref="X150:X157" si="112">SUM(V150:W150)</f>
        <v>0</v>
      </c>
      <c r="Y150" s="37">
        <f t="shared" ref="Y150:Y157" si="113">J150+M150+P150+S150+V150</f>
        <v>1627200</v>
      </c>
      <c r="Z150" s="37">
        <f t="shared" ref="Z150:Z157" si="114">K150+N150+Q150+T150+W150</f>
        <v>0</v>
      </c>
      <c r="AA150" s="37">
        <f t="shared" ref="AA150:AA157" si="115">SUM(Y150:Z150)</f>
        <v>1627200</v>
      </c>
      <c r="AB150" s="34">
        <f>0</f>
        <v>0</v>
      </c>
      <c r="AC150" s="39">
        <f>0</f>
        <v>0</v>
      </c>
      <c r="AD150" s="39">
        <f t="shared" ref="AD150:AD157" si="116">SUM(AB150:AC150)</f>
        <v>0</v>
      </c>
      <c r="AE150" s="41">
        <f>0</f>
        <v>0</v>
      </c>
      <c r="AF150" s="39">
        <f>0</f>
        <v>0</v>
      </c>
      <c r="AG150" s="39"/>
      <c r="AH150" s="39">
        <f t="shared" ref="AH150:AH157" si="117">SUM(AE150:AF150)</f>
        <v>0</v>
      </c>
      <c r="AI150" s="34">
        <f>0</f>
        <v>0</v>
      </c>
      <c r="AJ150" s="39">
        <f>0</f>
        <v>0</v>
      </c>
      <c r="AK150" s="39">
        <f t="shared" ref="AK150:AK157" si="118">SUM(AI150:AJ150)</f>
        <v>0</v>
      </c>
      <c r="AL150" s="210">
        <f t="shared" si="107"/>
        <v>-1627200</v>
      </c>
    </row>
    <row r="151" spans="2:46" ht="36">
      <c r="B151" s="48" t="s">
        <v>34</v>
      </c>
      <c r="C151" s="195" t="s">
        <v>352</v>
      </c>
      <c r="D151" s="46"/>
      <c r="E151" s="201" t="s">
        <v>692</v>
      </c>
      <c r="F151" s="16" t="s">
        <v>318</v>
      </c>
      <c r="G151" s="10" t="s">
        <v>319</v>
      </c>
      <c r="H151" s="198">
        <v>2022</v>
      </c>
      <c r="I151" s="198">
        <v>2023</v>
      </c>
      <c r="J151" s="41">
        <f>'[1]Summary for IPSIS'!$H$123+'[1]Summary for IPSIS'!$I$123</f>
        <v>0</v>
      </c>
      <c r="K151" s="37">
        <f>'[1]Summary for IPSIS'!$J$123</f>
        <v>0</v>
      </c>
      <c r="L151" s="37">
        <f t="shared" si="108"/>
        <v>0</v>
      </c>
      <c r="M151" s="41">
        <f>'[1]Summary for IPSIS'!$T$123+'[1]Summary for IPSIS'!$U$123</f>
        <v>949620</v>
      </c>
      <c r="N151" s="37">
        <f>'[1]Summary for IPSIS'!$V$123</f>
        <v>0</v>
      </c>
      <c r="O151" s="37">
        <f t="shared" si="109"/>
        <v>949620</v>
      </c>
      <c r="P151" s="41">
        <f>'[1]Summary for IPSIS'!$AF$123+'[1]Summary for IPSIS'!$AG$123</f>
        <v>949620</v>
      </c>
      <c r="Q151" s="37">
        <f>'[1]Summary for IPSIS'!$AH$123</f>
        <v>0</v>
      </c>
      <c r="R151" s="37">
        <f t="shared" si="110"/>
        <v>949620</v>
      </c>
      <c r="S151" s="41">
        <f>'[1]Summary for IPSIS'!$AR$123+'[1]Summary for IPSIS'!$AS$123</f>
        <v>0</v>
      </c>
      <c r="T151" s="37">
        <f>'[1]Summary for IPSIS'!$AT$123</f>
        <v>0</v>
      </c>
      <c r="U151" s="37">
        <f t="shared" si="111"/>
        <v>0</v>
      </c>
      <c r="V151" s="41">
        <f>'[1]Summary for IPSIS'!$BD$123+'[1]Summary for IPSIS'!$BE$123</f>
        <v>0</v>
      </c>
      <c r="W151" s="37">
        <f>'[1]Summary for IPSIS'!$BF$123</f>
        <v>0</v>
      </c>
      <c r="X151" s="37">
        <f t="shared" si="112"/>
        <v>0</v>
      </c>
      <c r="Y151" s="37">
        <f t="shared" si="113"/>
        <v>1899240</v>
      </c>
      <c r="Z151" s="37">
        <f t="shared" si="114"/>
        <v>0</v>
      </c>
      <c r="AA151" s="37">
        <f t="shared" si="115"/>
        <v>1899240</v>
      </c>
      <c r="AB151" s="34">
        <f>949620+949620</f>
        <v>1899240</v>
      </c>
      <c r="AC151" s="39">
        <f>0</f>
        <v>0</v>
      </c>
      <c r="AD151" s="39">
        <f t="shared" si="116"/>
        <v>1899240</v>
      </c>
      <c r="AE151" s="41">
        <f>0</f>
        <v>0</v>
      </c>
      <c r="AF151" s="39">
        <f>0</f>
        <v>0</v>
      </c>
      <c r="AG151" s="39"/>
      <c r="AH151" s="39">
        <f t="shared" si="117"/>
        <v>0</v>
      </c>
      <c r="AI151" s="34">
        <f>0</f>
        <v>0</v>
      </c>
      <c r="AJ151" s="39">
        <f>0</f>
        <v>0</v>
      </c>
      <c r="AK151" s="39">
        <f t="shared" si="118"/>
        <v>0</v>
      </c>
      <c r="AL151" s="210">
        <f t="shared" si="107"/>
        <v>0</v>
      </c>
    </row>
    <row r="152" spans="2:46" ht="33.6" customHeight="1">
      <c r="B152" s="48" t="s">
        <v>35</v>
      </c>
      <c r="C152" s="195" t="s">
        <v>353</v>
      </c>
      <c r="D152" s="46"/>
      <c r="E152" s="201" t="s">
        <v>692</v>
      </c>
      <c r="F152" s="16" t="s">
        <v>318</v>
      </c>
      <c r="G152" s="10" t="s">
        <v>319</v>
      </c>
      <c r="H152" s="198">
        <v>2021</v>
      </c>
      <c r="I152" s="198">
        <v>2025</v>
      </c>
      <c r="J152" s="41">
        <f>'[1]Summary for IPSIS'!$H$124+'[1]Summary for IPSIS'!$I$124</f>
        <v>1500000</v>
      </c>
      <c r="K152" s="37">
        <f>'[1]Summary for IPSIS'!$J$124</f>
        <v>0</v>
      </c>
      <c r="L152" s="37">
        <f t="shared" si="108"/>
        <v>1500000</v>
      </c>
      <c r="M152" s="41">
        <f>'[1]Summary for IPSIS'!$T$124+'[1]Summary for IPSIS'!$U$124</f>
        <v>1500000</v>
      </c>
      <c r="N152" s="37">
        <f>'[1]Summary for IPSIS'!$V$124</f>
        <v>0</v>
      </c>
      <c r="O152" s="37">
        <f t="shared" si="109"/>
        <v>1500000</v>
      </c>
      <c r="P152" s="41">
        <f>'[1]Summary for IPSIS'!$AF$124+'[1]Summary for IPSIS'!$AG$124</f>
        <v>1500000</v>
      </c>
      <c r="Q152" s="37">
        <f>'[1]Summary for IPSIS'!$AH$124</f>
        <v>0</v>
      </c>
      <c r="R152" s="37">
        <f t="shared" si="110"/>
        <v>1500000</v>
      </c>
      <c r="S152" s="41">
        <f>'[1]Summary for IPSIS'!$AR$124+'[1]Summary for IPSIS'!$AS$124</f>
        <v>1500000</v>
      </c>
      <c r="T152" s="37">
        <f>'[1]Summary for IPSIS'!$AT$124</f>
        <v>0</v>
      </c>
      <c r="U152" s="37">
        <f t="shared" si="111"/>
        <v>1500000</v>
      </c>
      <c r="V152" s="41">
        <f>'[1]Summary for IPSIS'!$BD$124+'[1]Summary for IPSIS'!$BE$124</f>
        <v>1500000</v>
      </c>
      <c r="W152" s="37">
        <f>'[1]Summary for IPSIS'!$BF$124</f>
        <v>0</v>
      </c>
      <c r="X152" s="37">
        <f t="shared" si="112"/>
        <v>1500000</v>
      </c>
      <c r="Y152" s="37">
        <f t="shared" si="113"/>
        <v>7500000</v>
      </c>
      <c r="Z152" s="37">
        <f t="shared" si="114"/>
        <v>0</v>
      </c>
      <c r="AA152" s="37">
        <f t="shared" si="115"/>
        <v>7500000</v>
      </c>
      <c r="AB152" s="34">
        <f>0</f>
        <v>0</v>
      </c>
      <c r="AC152" s="39">
        <f>0</f>
        <v>0</v>
      </c>
      <c r="AD152" s="39">
        <f t="shared" si="116"/>
        <v>0</v>
      </c>
      <c r="AE152" s="41">
        <f>0</f>
        <v>0</v>
      </c>
      <c r="AF152" s="39">
        <f>0</f>
        <v>0</v>
      </c>
      <c r="AG152" s="39"/>
      <c r="AH152" s="39">
        <f t="shared" si="117"/>
        <v>0</v>
      </c>
      <c r="AI152" s="34">
        <f>1500000+1500000</f>
        <v>3000000</v>
      </c>
      <c r="AJ152" s="39">
        <f>0</f>
        <v>0</v>
      </c>
      <c r="AK152" s="39">
        <f t="shared" si="118"/>
        <v>3000000</v>
      </c>
      <c r="AL152" s="210">
        <f t="shared" si="107"/>
        <v>-4500000</v>
      </c>
    </row>
    <row r="153" spans="2:46" ht="50.4" customHeight="1">
      <c r="B153" s="48" t="s">
        <v>346</v>
      </c>
      <c r="C153" s="195" t="s">
        <v>354</v>
      </c>
      <c r="D153" s="46"/>
      <c r="E153" s="201" t="s">
        <v>692</v>
      </c>
      <c r="F153" s="16" t="s">
        <v>318</v>
      </c>
      <c r="G153" s="10" t="s">
        <v>319</v>
      </c>
      <c r="H153" s="198">
        <v>2022</v>
      </c>
      <c r="I153" s="198">
        <v>2022</v>
      </c>
      <c r="J153" s="41">
        <f>'[1]Summary for IPSIS'!$H$125+'[1]Summary for IPSIS'!$I$125</f>
        <v>0</v>
      </c>
      <c r="K153" s="37">
        <f>'[1]Summary for IPSIS'!$J$125</f>
        <v>0</v>
      </c>
      <c r="L153" s="37">
        <f t="shared" si="108"/>
        <v>0</v>
      </c>
      <c r="M153" s="41">
        <f>'[1]Summary for IPSIS'!$T$125+'[1]Summary for IPSIS'!$U$125</f>
        <v>112896</v>
      </c>
      <c r="N153" s="37">
        <f>'[1]Summary for IPSIS'!$V$125</f>
        <v>0</v>
      </c>
      <c r="O153" s="37">
        <f t="shared" si="109"/>
        <v>112896</v>
      </c>
      <c r="P153" s="41">
        <f>'[1]Summary for IPSIS'!$AF$125+'[1]Summary for IPSIS'!$AG$125</f>
        <v>0</v>
      </c>
      <c r="Q153" s="37">
        <f>'[1]Summary for IPSIS'!$AH$125</f>
        <v>0</v>
      </c>
      <c r="R153" s="37">
        <f t="shared" si="110"/>
        <v>0</v>
      </c>
      <c r="S153" s="41">
        <f>'[1]Summary for IPSIS'!$AR$125+'[1]Summary for IPSIS'!$AS$125</f>
        <v>0</v>
      </c>
      <c r="T153" s="37">
        <f>'[1]Summary for IPSIS'!$AT$125</f>
        <v>0</v>
      </c>
      <c r="U153" s="37">
        <f t="shared" si="111"/>
        <v>0</v>
      </c>
      <c r="V153" s="41">
        <f>'[1]Summary for IPSIS'!$BD$125+'[1]Summary for IPSIS'!$BE$125</f>
        <v>0</v>
      </c>
      <c r="W153" s="37">
        <f>'[1]Summary for IPSIS'!$BF$125</f>
        <v>0</v>
      </c>
      <c r="X153" s="37">
        <f t="shared" si="112"/>
        <v>0</v>
      </c>
      <c r="Y153" s="37">
        <f t="shared" si="113"/>
        <v>112896</v>
      </c>
      <c r="Z153" s="37">
        <f t="shared" si="114"/>
        <v>0</v>
      </c>
      <c r="AA153" s="37">
        <f t="shared" si="115"/>
        <v>112896</v>
      </c>
      <c r="AB153" s="34">
        <f>112896</f>
        <v>112896</v>
      </c>
      <c r="AC153" s="39">
        <f>0</f>
        <v>0</v>
      </c>
      <c r="AD153" s="39">
        <f t="shared" si="116"/>
        <v>112896</v>
      </c>
      <c r="AE153" s="41">
        <f>0</f>
        <v>0</v>
      </c>
      <c r="AF153" s="39">
        <f>0</f>
        <v>0</v>
      </c>
      <c r="AG153" s="39"/>
      <c r="AH153" s="39">
        <f t="shared" si="117"/>
        <v>0</v>
      </c>
      <c r="AI153" s="34">
        <f>0</f>
        <v>0</v>
      </c>
      <c r="AJ153" s="39">
        <f>0</f>
        <v>0</v>
      </c>
      <c r="AK153" s="39">
        <f t="shared" si="118"/>
        <v>0</v>
      </c>
      <c r="AL153" s="210">
        <f t="shared" si="107"/>
        <v>0</v>
      </c>
    </row>
    <row r="154" spans="2:46" ht="45.6" customHeight="1">
      <c r="B154" s="48" t="s">
        <v>347</v>
      </c>
      <c r="C154" s="195" t="s">
        <v>355</v>
      </c>
      <c r="D154" s="46"/>
      <c r="E154" s="201" t="s">
        <v>694</v>
      </c>
      <c r="F154" s="16" t="s">
        <v>318</v>
      </c>
      <c r="G154" s="10" t="s">
        <v>319</v>
      </c>
      <c r="H154" s="198">
        <v>2021</v>
      </c>
      <c r="I154" s="198">
        <v>2022</v>
      </c>
      <c r="J154" s="41">
        <f>'[1]Summary for IPSIS'!$H$126+'[1]Summary for IPSIS'!$I$126</f>
        <v>271200</v>
      </c>
      <c r="K154" s="37">
        <f>'[1]Summary for IPSIS'!$J$126</f>
        <v>0</v>
      </c>
      <c r="L154" s="37">
        <f t="shared" si="108"/>
        <v>271200</v>
      </c>
      <c r="M154" s="41">
        <f>'[1]Summary for IPSIS'!$T$126+'[1]Summary for IPSIS'!$U$126</f>
        <v>271200</v>
      </c>
      <c r="N154" s="37">
        <f>'[1]Summary for IPSIS'!$V$126</f>
        <v>0</v>
      </c>
      <c r="O154" s="37">
        <f t="shared" si="109"/>
        <v>271200</v>
      </c>
      <c r="P154" s="41">
        <f>'[1]Summary for IPSIS'!$AF$126+'[1]Summary for IPSIS'!$AG$126</f>
        <v>0</v>
      </c>
      <c r="Q154" s="37">
        <f>'[1]Summary for IPSIS'!$AH$126</f>
        <v>0</v>
      </c>
      <c r="R154" s="37">
        <f t="shared" si="110"/>
        <v>0</v>
      </c>
      <c r="S154" s="41">
        <f>'[1]Summary for IPSIS'!$AR$126+'[1]Summary for IPSIS'!$AS$126</f>
        <v>0</v>
      </c>
      <c r="T154" s="37">
        <f>'[1]Summary for IPSIS'!$AT$126</f>
        <v>0</v>
      </c>
      <c r="U154" s="37">
        <f t="shared" si="111"/>
        <v>0</v>
      </c>
      <c r="V154" s="41">
        <f>'[1]Summary for IPSIS'!$BD$126+'[1]Summary for IPSIS'!$BE$126</f>
        <v>0</v>
      </c>
      <c r="W154" s="37">
        <f>'[1]Summary for IPSIS'!$BF$126</f>
        <v>0</v>
      </c>
      <c r="X154" s="37">
        <f t="shared" si="112"/>
        <v>0</v>
      </c>
      <c r="Y154" s="37">
        <f t="shared" si="113"/>
        <v>542400</v>
      </c>
      <c r="Z154" s="37">
        <f t="shared" si="114"/>
        <v>0</v>
      </c>
      <c r="AA154" s="37">
        <f t="shared" si="115"/>
        <v>542400</v>
      </c>
      <c r="AB154" s="34">
        <f>0</f>
        <v>0</v>
      </c>
      <c r="AC154" s="39">
        <f>0</f>
        <v>0</v>
      </c>
      <c r="AD154" s="39">
        <f t="shared" si="116"/>
        <v>0</v>
      </c>
      <c r="AE154" s="41">
        <f>0</f>
        <v>0</v>
      </c>
      <c r="AF154" s="39">
        <f>0</f>
        <v>0</v>
      </c>
      <c r="AG154" s="39"/>
      <c r="AH154" s="39">
        <f t="shared" si="117"/>
        <v>0</v>
      </c>
      <c r="AI154" s="34">
        <f>0</f>
        <v>0</v>
      </c>
      <c r="AJ154" s="39">
        <f>0</f>
        <v>0</v>
      </c>
      <c r="AK154" s="39">
        <f t="shared" si="118"/>
        <v>0</v>
      </c>
      <c r="AL154" s="210">
        <f t="shared" si="107"/>
        <v>-542400</v>
      </c>
    </row>
    <row r="155" spans="2:46" ht="48">
      <c r="B155" s="48" t="s">
        <v>348</v>
      </c>
      <c r="C155" s="188" t="s">
        <v>356</v>
      </c>
      <c r="D155" s="46"/>
      <c r="E155" s="189" t="s">
        <v>695</v>
      </c>
      <c r="F155" s="16" t="s">
        <v>318</v>
      </c>
      <c r="G155" s="10" t="s">
        <v>696</v>
      </c>
      <c r="H155" s="181">
        <v>2021</v>
      </c>
      <c r="I155" s="181">
        <v>2022</v>
      </c>
      <c r="J155" s="41">
        <f>'[1]Summary for IPSIS'!$H$127+'[1]Summary for IPSIS'!$I$127</f>
        <v>723520</v>
      </c>
      <c r="K155" s="37">
        <f>'[1]Summary for IPSIS'!$J$127</f>
        <v>0</v>
      </c>
      <c r="L155" s="37">
        <f t="shared" si="108"/>
        <v>723520</v>
      </c>
      <c r="M155" s="41">
        <f>'[1]Summary for IPSIS'!$T$127+'[1]Summary for IPSIS'!$U$127</f>
        <v>271200</v>
      </c>
      <c r="N155" s="37">
        <f>'[1]Summary for IPSIS'!$V$127</f>
        <v>0</v>
      </c>
      <c r="O155" s="37">
        <f t="shared" si="109"/>
        <v>271200</v>
      </c>
      <c r="P155" s="41">
        <f>'[1]Summary for IPSIS'!$AF$127+'[1]Summary for IPSIS'!$AG$127</f>
        <v>0</v>
      </c>
      <c r="Q155" s="37">
        <f>'[1]Summary for IPSIS'!$AH$127</f>
        <v>0</v>
      </c>
      <c r="R155" s="37">
        <f t="shared" si="110"/>
        <v>0</v>
      </c>
      <c r="S155" s="41">
        <f>'[1]Summary for IPSIS'!$AR$127+'[1]Summary for IPSIS'!$AS$127</f>
        <v>0</v>
      </c>
      <c r="T155" s="37">
        <f>'[1]Summary for IPSIS'!$AT$127</f>
        <v>0</v>
      </c>
      <c r="U155" s="37">
        <f t="shared" si="111"/>
        <v>0</v>
      </c>
      <c r="V155" s="41">
        <f>'[1]Summary for IPSIS'!$BD$127+'[1]Summary for IPSIS'!$BE$127</f>
        <v>0</v>
      </c>
      <c r="W155" s="37">
        <f>'[1]Summary for IPSIS'!$BF$127</f>
        <v>0</v>
      </c>
      <c r="X155" s="37">
        <f t="shared" si="112"/>
        <v>0</v>
      </c>
      <c r="Y155" s="37">
        <f t="shared" si="113"/>
        <v>994720</v>
      </c>
      <c r="Z155" s="37">
        <f t="shared" si="114"/>
        <v>0</v>
      </c>
      <c r="AA155" s="37">
        <f t="shared" si="115"/>
        <v>994720</v>
      </c>
      <c r="AB155" s="34">
        <f>723520</f>
        <v>723520</v>
      </c>
      <c r="AC155" s="39">
        <v>0</v>
      </c>
      <c r="AD155" s="39">
        <f t="shared" si="116"/>
        <v>723520</v>
      </c>
      <c r="AE155" s="41">
        <f>0</f>
        <v>0</v>
      </c>
      <c r="AF155" s="39">
        <f>0</f>
        <v>0</v>
      </c>
      <c r="AG155" s="39"/>
      <c r="AH155" s="39">
        <f t="shared" si="117"/>
        <v>0</v>
      </c>
      <c r="AI155" s="34">
        <f>0</f>
        <v>0</v>
      </c>
      <c r="AJ155" s="39">
        <f>0</f>
        <v>0</v>
      </c>
      <c r="AK155" s="39">
        <f t="shared" si="118"/>
        <v>0</v>
      </c>
      <c r="AL155" s="210">
        <f t="shared" si="107"/>
        <v>-271200</v>
      </c>
    </row>
    <row r="156" spans="2:46" ht="48">
      <c r="B156" s="48" t="s">
        <v>349</v>
      </c>
      <c r="C156" s="188" t="s">
        <v>357</v>
      </c>
      <c r="D156" s="46"/>
      <c r="E156" s="187" t="s">
        <v>694</v>
      </c>
      <c r="F156" s="16" t="s">
        <v>318</v>
      </c>
      <c r="G156" s="10" t="s">
        <v>319</v>
      </c>
      <c r="H156" s="181">
        <v>2022</v>
      </c>
      <c r="I156" s="181">
        <v>2023</v>
      </c>
      <c r="J156" s="41">
        <f>'[1]Summary for IPSIS'!$H$128+'[1]Summary for IPSIS'!$I$128</f>
        <v>0</v>
      </c>
      <c r="K156" s="37">
        <f>'[1]Summary for IPSIS'!$J$128</f>
        <v>0</v>
      </c>
      <c r="L156" s="37">
        <f t="shared" si="108"/>
        <v>0</v>
      </c>
      <c r="M156" s="41">
        <f>'[1]Summary for IPSIS'!$T$128+'[1]Summary for IPSIS'!$U$128</f>
        <v>720000</v>
      </c>
      <c r="N156" s="37">
        <f>'[1]Summary for IPSIS'!$V$128</f>
        <v>0</v>
      </c>
      <c r="O156" s="37">
        <f t="shared" si="109"/>
        <v>720000</v>
      </c>
      <c r="P156" s="41">
        <f>'[1]Summary for IPSIS'!$AF$128+'[1]Summary for IPSIS'!$AG$128</f>
        <v>840000</v>
      </c>
      <c r="Q156" s="37">
        <f>'[1]Summary for IPSIS'!$AH$128</f>
        <v>0</v>
      </c>
      <c r="R156" s="37">
        <f t="shared" si="110"/>
        <v>840000</v>
      </c>
      <c r="S156" s="41">
        <f>'[1]Summary for IPSIS'!$AR$128+'[1]Summary for IPSIS'!$AS$128</f>
        <v>0</v>
      </c>
      <c r="T156" s="37">
        <f>'[1]Summary for IPSIS'!$AT$128</f>
        <v>0</v>
      </c>
      <c r="U156" s="37">
        <f t="shared" si="111"/>
        <v>0</v>
      </c>
      <c r="V156" s="41">
        <f>'[1]Summary for IPSIS'!$BD$128+'[1]Summary for IPSIS'!$BE$128</f>
        <v>0</v>
      </c>
      <c r="W156" s="37">
        <f>'[1]Summary for IPSIS'!$BF$128</f>
        <v>0</v>
      </c>
      <c r="X156" s="37">
        <f t="shared" si="112"/>
        <v>0</v>
      </c>
      <c r="Y156" s="37">
        <f t="shared" si="113"/>
        <v>1560000</v>
      </c>
      <c r="Z156" s="37">
        <f t="shared" si="114"/>
        <v>0</v>
      </c>
      <c r="AA156" s="37">
        <f t="shared" si="115"/>
        <v>1560000</v>
      </c>
      <c r="AB156" s="34">
        <f>0</f>
        <v>0</v>
      </c>
      <c r="AC156" s="39">
        <f>0</f>
        <v>0</v>
      </c>
      <c r="AD156" s="39">
        <f t="shared" si="116"/>
        <v>0</v>
      </c>
      <c r="AE156" s="41">
        <f>0</f>
        <v>0</v>
      </c>
      <c r="AF156" s="39">
        <f>0</f>
        <v>0</v>
      </c>
      <c r="AG156" s="39"/>
      <c r="AH156" s="39">
        <f t="shared" si="117"/>
        <v>0</v>
      </c>
      <c r="AI156" s="34">
        <f>0</f>
        <v>0</v>
      </c>
      <c r="AJ156" s="39">
        <f>0</f>
        <v>0</v>
      </c>
      <c r="AK156" s="39">
        <f t="shared" si="118"/>
        <v>0</v>
      </c>
      <c r="AL156" s="210">
        <f t="shared" si="107"/>
        <v>-1560000</v>
      </c>
    </row>
    <row r="157" spans="2:46" ht="36.6" thickBot="1">
      <c r="B157" s="233" t="s">
        <v>350</v>
      </c>
      <c r="C157" s="219" t="s">
        <v>358</v>
      </c>
      <c r="D157" s="178"/>
      <c r="E157" s="220" t="s">
        <v>692</v>
      </c>
      <c r="F157" s="21" t="s">
        <v>318</v>
      </c>
      <c r="G157" s="214" t="s">
        <v>319</v>
      </c>
      <c r="H157" s="182">
        <v>2023</v>
      </c>
      <c r="I157" s="182">
        <v>2025</v>
      </c>
      <c r="J157" s="74">
        <f>'[1]Summary for IPSIS'!$H$129+'[1]Summary for IPSIS'!$I$129</f>
        <v>0</v>
      </c>
      <c r="K157" s="90">
        <f>'[1]Summary for IPSIS'!$J$129</f>
        <v>0</v>
      </c>
      <c r="L157" s="90">
        <f t="shared" si="108"/>
        <v>0</v>
      </c>
      <c r="M157" s="74">
        <f>'[1]Summary for IPSIS'!$T$129+'[1]Summary for IPSIS'!$U$129</f>
        <v>0</v>
      </c>
      <c r="N157" s="90">
        <f>'[1]Summary for IPSIS'!$V$121</f>
        <v>0</v>
      </c>
      <c r="O157" s="90">
        <f t="shared" si="109"/>
        <v>0</v>
      </c>
      <c r="P157" s="74">
        <f>'[1]Summary for IPSIS'!$AF$129+'[1]Summary for IPSIS'!$AG$129</f>
        <v>112896</v>
      </c>
      <c r="Q157" s="90">
        <f>'[1]Summary for IPSIS'!$AH$129</f>
        <v>0</v>
      </c>
      <c r="R157" s="90">
        <f t="shared" si="110"/>
        <v>112896</v>
      </c>
      <c r="S157" s="74">
        <f>'[1]Summary for IPSIS'!$AR$129+'[1]Summary for IPSIS'!$AS$129</f>
        <v>232896</v>
      </c>
      <c r="T157" s="90">
        <f>'[1]Summary for IPSIS'!$AT$129</f>
        <v>0</v>
      </c>
      <c r="U157" s="90">
        <f t="shared" si="111"/>
        <v>232896</v>
      </c>
      <c r="V157" s="74">
        <f>'[1]Summary for IPSIS'!$BD$129+'[1]Summary for IPSIS'!$BE$129</f>
        <v>120000</v>
      </c>
      <c r="W157" s="90">
        <f>'[1]Summary for IPSIS'!$BF$129</f>
        <v>0</v>
      </c>
      <c r="X157" s="90">
        <f t="shared" si="112"/>
        <v>120000</v>
      </c>
      <c r="Y157" s="90">
        <f t="shared" si="113"/>
        <v>465792</v>
      </c>
      <c r="Z157" s="90">
        <f t="shared" si="114"/>
        <v>0</v>
      </c>
      <c r="AA157" s="90">
        <f t="shared" si="115"/>
        <v>465792</v>
      </c>
      <c r="AB157" s="234">
        <f>112896</f>
        <v>112896</v>
      </c>
      <c r="AC157" s="82">
        <f>0</f>
        <v>0</v>
      </c>
      <c r="AD157" s="82">
        <f t="shared" si="116"/>
        <v>112896</v>
      </c>
      <c r="AE157" s="74">
        <f>0</f>
        <v>0</v>
      </c>
      <c r="AF157" s="82">
        <f>0</f>
        <v>0</v>
      </c>
      <c r="AG157" s="82"/>
      <c r="AH157" s="82">
        <f t="shared" si="117"/>
        <v>0</v>
      </c>
      <c r="AI157" s="234">
        <f>232896+120000</f>
        <v>352896</v>
      </c>
      <c r="AJ157" s="82">
        <f>0</f>
        <v>0</v>
      </c>
      <c r="AK157" s="82">
        <f t="shared" si="118"/>
        <v>352896</v>
      </c>
      <c r="AL157" s="217">
        <f t="shared" si="107"/>
        <v>0</v>
      </c>
    </row>
    <row r="158" spans="2:46" s="6" customFormat="1" ht="29.25" customHeight="1" thickBot="1">
      <c r="B158" s="58"/>
      <c r="C158" s="65" t="s">
        <v>73</v>
      </c>
      <c r="D158" s="66"/>
      <c r="E158" s="66"/>
      <c r="F158" s="56"/>
      <c r="G158" s="56"/>
      <c r="H158" s="56"/>
      <c r="I158" s="56"/>
      <c r="J158" s="57">
        <f>SUM(J149:J157)</f>
        <v>4031840</v>
      </c>
      <c r="K158" s="57">
        <f t="shared" ref="K158:AL158" si="119">SUM(K149:K157)</f>
        <v>0</v>
      </c>
      <c r="L158" s="57">
        <f t="shared" si="119"/>
        <v>4031840</v>
      </c>
      <c r="M158" s="57">
        <f t="shared" si="119"/>
        <v>4638516</v>
      </c>
      <c r="N158" s="57">
        <f t="shared" si="119"/>
        <v>0</v>
      </c>
      <c r="O158" s="57">
        <f t="shared" si="119"/>
        <v>4638516</v>
      </c>
      <c r="P158" s="57">
        <f t="shared" si="119"/>
        <v>3402516</v>
      </c>
      <c r="Q158" s="57">
        <f t="shared" si="119"/>
        <v>0</v>
      </c>
      <c r="R158" s="57">
        <f t="shared" si="119"/>
        <v>3402516</v>
      </c>
      <c r="S158" s="57">
        <f t="shared" si="119"/>
        <v>1732896</v>
      </c>
      <c r="T158" s="57">
        <f t="shared" si="119"/>
        <v>0</v>
      </c>
      <c r="U158" s="57">
        <f t="shared" si="119"/>
        <v>1732896</v>
      </c>
      <c r="V158" s="57">
        <f t="shared" si="119"/>
        <v>1620000</v>
      </c>
      <c r="W158" s="57">
        <f t="shared" si="119"/>
        <v>0</v>
      </c>
      <c r="X158" s="57">
        <f t="shared" si="119"/>
        <v>1620000</v>
      </c>
      <c r="Y158" s="57">
        <f t="shared" si="119"/>
        <v>15425768</v>
      </c>
      <c r="Z158" s="57">
        <f t="shared" si="119"/>
        <v>0</v>
      </c>
      <c r="AA158" s="57">
        <f t="shared" si="119"/>
        <v>15425768</v>
      </c>
      <c r="AB158" s="57">
        <f t="shared" si="119"/>
        <v>3572072</v>
      </c>
      <c r="AC158" s="57">
        <f t="shared" si="119"/>
        <v>0</v>
      </c>
      <c r="AD158" s="57">
        <f t="shared" si="119"/>
        <v>3572072</v>
      </c>
      <c r="AE158" s="57">
        <f t="shared" si="119"/>
        <v>0</v>
      </c>
      <c r="AF158" s="57">
        <f t="shared" si="119"/>
        <v>0</v>
      </c>
      <c r="AG158" s="57"/>
      <c r="AH158" s="57">
        <f t="shared" si="119"/>
        <v>0</v>
      </c>
      <c r="AI158" s="57">
        <f t="shared" si="119"/>
        <v>3352896</v>
      </c>
      <c r="AJ158" s="57">
        <f t="shared" si="119"/>
        <v>0</v>
      </c>
      <c r="AK158" s="57">
        <f t="shared" si="119"/>
        <v>3352896</v>
      </c>
      <c r="AL158" s="218">
        <f t="shared" si="119"/>
        <v>-8500800</v>
      </c>
      <c r="AM158" s="36"/>
      <c r="AN158" s="36"/>
      <c r="AO158" s="36"/>
      <c r="AP158" s="36"/>
      <c r="AQ158" s="36"/>
      <c r="AR158" s="36"/>
      <c r="AS158" s="36"/>
      <c r="AT158" s="36"/>
    </row>
    <row r="159" spans="2:46" s="6" customFormat="1" ht="29.25" customHeight="1" thickBot="1">
      <c r="B159" s="58"/>
      <c r="C159" s="285" t="s">
        <v>750</v>
      </c>
      <c r="D159" s="286"/>
      <c r="E159" s="185"/>
      <c r="F159" s="56"/>
      <c r="G159" s="56"/>
      <c r="H159" s="56"/>
      <c r="I159" s="56"/>
      <c r="J159" s="57">
        <f>J158+J146+J132</f>
        <v>31934056</v>
      </c>
      <c r="K159" s="57">
        <f t="shared" ref="K159:AL159" si="120">K158+K146+K132</f>
        <v>0</v>
      </c>
      <c r="L159" s="57">
        <f t="shared" si="120"/>
        <v>31934056</v>
      </c>
      <c r="M159" s="57">
        <f t="shared" si="120"/>
        <v>29128924</v>
      </c>
      <c r="N159" s="57">
        <f t="shared" si="120"/>
        <v>0</v>
      </c>
      <c r="O159" s="57">
        <f t="shared" si="120"/>
        <v>29128924</v>
      </c>
      <c r="P159" s="57">
        <f t="shared" si="120"/>
        <v>27490924</v>
      </c>
      <c r="Q159" s="57">
        <f t="shared" si="120"/>
        <v>0</v>
      </c>
      <c r="R159" s="57">
        <f t="shared" si="120"/>
        <v>27490924</v>
      </c>
      <c r="S159" s="57">
        <f t="shared" si="120"/>
        <v>20502472</v>
      </c>
      <c r="T159" s="57">
        <f t="shared" si="120"/>
        <v>0</v>
      </c>
      <c r="U159" s="57">
        <f t="shared" si="120"/>
        <v>20502472</v>
      </c>
      <c r="V159" s="57">
        <f t="shared" si="120"/>
        <v>26389576</v>
      </c>
      <c r="W159" s="57">
        <f t="shared" si="120"/>
        <v>0</v>
      </c>
      <c r="X159" s="57">
        <f t="shared" si="120"/>
        <v>26389576</v>
      </c>
      <c r="Y159" s="57">
        <f t="shared" si="120"/>
        <v>135445952</v>
      </c>
      <c r="Z159" s="57">
        <f t="shared" si="120"/>
        <v>0</v>
      </c>
      <c r="AA159" s="57">
        <f t="shared" si="120"/>
        <v>135445952</v>
      </c>
      <c r="AB159" s="57">
        <f t="shared" si="120"/>
        <v>75196704</v>
      </c>
      <c r="AC159" s="57">
        <f t="shared" si="120"/>
        <v>0</v>
      </c>
      <c r="AD159" s="57">
        <f t="shared" si="120"/>
        <v>75196704</v>
      </c>
      <c r="AE159" s="57">
        <f t="shared" si="120"/>
        <v>0</v>
      </c>
      <c r="AF159" s="57">
        <f t="shared" si="120"/>
        <v>0</v>
      </c>
      <c r="AG159" s="57"/>
      <c r="AH159" s="57">
        <f t="shared" si="120"/>
        <v>0</v>
      </c>
      <c r="AI159" s="57">
        <f t="shared" si="120"/>
        <v>44818448</v>
      </c>
      <c r="AJ159" s="57">
        <f t="shared" si="120"/>
        <v>0</v>
      </c>
      <c r="AK159" s="57">
        <f t="shared" si="120"/>
        <v>44818448</v>
      </c>
      <c r="AL159" s="218">
        <f t="shared" si="120"/>
        <v>-15430800</v>
      </c>
      <c r="AM159" s="36"/>
      <c r="AN159" s="36"/>
      <c r="AO159" s="36"/>
      <c r="AP159" s="36"/>
      <c r="AQ159" s="36"/>
      <c r="AR159" s="36"/>
      <c r="AS159" s="36"/>
      <c r="AT159" s="36"/>
    </row>
    <row r="160" spans="2:46" s="6" customFormat="1" ht="29.25" customHeight="1" thickBot="1">
      <c r="B160" s="290" t="s">
        <v>143</v>
      </c>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9"/>
      <c r="AM160" s="36"/>
      <c r="AN160" s="36"/>
      <c r="AO160" s="36"/>
      <c r="AP160" s="36"/>
      <c r="AQ160" s="36"/>
      <c r="AR160" s="36"/>
      <c r="AS160" s="36"/>
      <c r="AT160" s="36"/>
    </row>
    <row r="161" spans="2:38" ht="41.25" customHeight="1" thickBot="1">
      <c r="B161" s="290" t="s">
        <v>773</v>
      </c>
      <c r="C161" s="296"/>
      <c r="D161" s="296"/>
      <c r="E161" s="296"/>
      <c r="F161" s="296"/>
      <c r="G161" s="296"/>
      <c r="H161" s="296"/>
      <c r="I161" s="296"/>
      <c r="J161" s="296"/>
      <c r="K161" s="296"/>
      <c r="L161" s="296"/>
      <c r="M161" s="296"/>
      <c r="N161" s="296"/>
      <c r="O161" s="296"/>
      <c r="P161" s="296"/>
      <c r="Q161" s="296"/>
      <c r="R161" s="296"/>
      <c r="S161" s="296"/>
      <c r="T161" s="296"/>
      <c r="U161" s="296"/>
      <c r="V161" s="296"/>
      <c r="W161" s="296"/>
      <c r="X161" s="296"/>
      <c r="Y161" s="296"/>
      <c r="Z161" s="296"/>
      <c r="AA161" s="296"/>
      <c r="AB161" s="296"/>
      <c r="AC161" s="296"/>
      <c r="AD161" s="296"/>
      <c r="AE161" s="296"/>
      <c r="AF161" s="296"/>
      <c r="AG161" s="296"/>
      <c r="AH161" s="296"/>
      <c r="AI161" s="296"/>
      <c r="AJ161" s="296"/>
      <c r="AK161" s="296"/>
      <c r="AL161" s="297"/>
    </row>
    <row r="162" spans="2:38" ht="45" customHeight="1">
      <c r="B162" s="304" t="s">
        <v>0</v>
      </c>
      <c r="C162" s="310" t="s">
        <v>111</v>
      </c>
      <c r="D162" s="310" t="s">
        <v>1</v>
      </c>
      <c r="E162" s="164" t="s">
        <v>112</v>
      </c>
      <c r="F162" s="310" t="s">
        <v>747</v>
      </c>
      <c r="G162" s="310"/>
      <c r="H162" s="298" t="s">
        <v>116</v>
      </c>
      <c r="I162" s="298"/>
      <c r="J162" s="311" t="s">
        <v>119</v>
      </c>
      <c r="K162" s="311"/>
      <c r="L162" s="311"/>
      <c r="M162" s="311" t="s">
        <v>120</v>
      </c>
      <c r="N162" s="311"/>
      <c r="O162" s="311"/>
      <c r="P162" s="311" t="s">
        <v>121</v>
      </c>
      <c r="Q162" s="314"/>
      <c r="R162" s="314"/>
      <c r="S162" s="312" t="s">
        <v>122</v>
      </c>
      <c r="T162" s="312"/>
      <c r="U162" s="312"/>
      <c r="V162" s="312" t="s">
        <v>123</v>
      </c>
      <c r="W162" s="312"/>
      <c r="X162" s="312"/>
      <c r="Y162" s="312" t="s">
        <v>124</v>
      </c>
      <c r="Z162" s="314"/>
      <c r="AA162" s="314"/>
      <c r="AB162" s="311" t="s">
        <v>125</v>
      </c>
      <c r="AC162" s="311"/>
      <c r="AD162" s="311"/>
      <c r="AE162" s="311"/>
      <c r="AF162" s="311"/>
      <c r="AG162" s="311"/>
      <c r="AH162" s="311"/>
      <c r="AI162" s="311" t="s">
        <v>131</v>
      </c>
      <c r="AJ162" s="317"/>
      <c r="AK162" s="317"/>
      <c r="AL162" s="323" t="s">
        <v>132</v>
      </c>
    </row>
    <row r="163" spans="2:38" ht="45.6" customHeight="1">
      <c r="B163" s="305"/>
      <c r="C163" s="308"/>
      <c r="D163" s="308"/>
      <c r="E163" s="308" t="s">
        <v>113</v>
      </c>
      <c r="F163" s="318" t="s">
        <v>114</v>
      </c>
      <c r="G163" s="318" t="s">
        <v>115</v>
      </c>
      <c r="H163" s="320" t="s">
        <v>117</v>
      </c>
      <c r="I163" s="320" t="s">
        <v>117</v>
      </c>
      <c r="J163" s="299"/>
      <c r="K163" s="299"/>
      <c r="L163" s="299"/>
      <c r="M163" s="299"/>
      <c r="N163" s="299"/>
      <c r="O163" s="299"/>
      <c r="P163" s="315"/>
      <c r="Q163" s="315"/>
      <c r="R163" s="315"/>
      <c r="S163" s="313"/>
      <c r="T163" s="313"/>
      <c r="U163" s="313"/>
      <c r="V163" s="313"/>
      <c r="W163" s="313"/>
      <c r="X163" s="313"/>
      <c r="Y163" s="315"/>
      <c r="Z163" s="315"/>
      <c r="AA163" s="315"/>
      <c r="AB163" s="299" t="s">
        <v>127</v>
      </c>
      <c r="AC163" s="300"/>
      <c r="AD163" s="300"/>
      <c r="AE163" s="299" t="s">
        <v>128</v>
      </c>
      <c r="AF163" s="301"/>
      <c r="AG163" s="301"/>
      <c r="AH163" s="301"/>
      <c r="AI163" s="316" t="s">
        <v>134</v>
      </c>
      <c r="AJ163" s="316"/>
      <c r="AK163" s="316"/>
      <c r="AL163" s="324"/>
    </row>
    <row r="164" spans="2:38" ht="28.5" customHeight="1" thickBot="1">
      <c r="B164" s="306"/>
      <c r="C164" s="322"/>
      <c r="D164" s="322"/>
      <c r="E164" s="322"/>
      <c r="F164" s="319"/>
      <c r="G164" s="319"/>
      <c r="H164" s="321"/>
      <c r="I164" s="321"/>
      <c r="J164" s="205" t="s">
        <v>87</v>
      </c>
      <c r="K164" s="206" t="s">
        <v>88</v>
      </c>
      <c r="L164" s="206" t="s">
        <v>133</v>
      </c>
      <c r="M164" s="205" t="s">
        <v>87</v>
      </c>
      <c r="N164" s="206" t="s">
        <v>88</v>
      </c>
      <c r="O164" s="206" t="s">
        <v>133</v>
      </c>
      <c r="P164" s="205" t="s">
        <v>87</v>
      </c>
      <c r="Q164" s="206" t="s">
        <v>88</v>
      </c>
      <c r="R164" s="206" t="s">
        <v>133</v>
      </c>
      <c r="S164" s="205" t="s">
        <v>87</v>
      </c>
      <c r="T164" s="206" t="s">
        <v>88</v>
      </c>
      <c r="U164" s="206" t="s">
        <v>133</v>
      </c>
      <c r="V164" s="205" t="s">
        <v>87</v>
      </c>
      <c r="W164" s="206" t="s">
        <v>88</v>
      </c>
      <c r="X164" s="206" t="s">
        <v>133</v>
      </c>
      <c r="Y164" s="206" t="s">
        <v>87</v>
      </c>
      <c r="Z164" s="206" t="s">
        <v>88</v>
      </c>
      <c r="AA164" s="206" t="s">
        <v>133</v>
      </c>
      <c r="AB164" s="205" t="s">
        <v>87</v>
      </c>
      <c r="AC164" s="206" t="s">
        <v>88</v>
      </c>
      <c r="AD164" s="206" t="s">
        <v>126</v>
      </c>
      <c r="AE164" s="205" t="s">
        <v>87</v>
      </c>
      <c r="AF164" s="206" t="s">
        <v>88</v>
      </c>
      <c r="AG164" s="206" t="s">
        <v>129</v>
      </c>
      <c r="AH164" s="206" t="s">
        <v>130</v>
      </c>
      <c r="AI164" s="205" t="s">
        <v>87</v>
      </c>
      <c r="AJ164" s="206" t="s">
        <v>88</v>
      </c>
      <c r="AK164" s="206" t="s">
        <v>133</v>
      </c>
      <c r="AL164" s="207"/>
    </row>
    <row r="165" spans="2:38" ht="47.4" customHeight="1">
      <c r="B165" s="161">
        <v>4.0999999999999996</v>
      </c>
      <c r="C165" s="283" t="s">
        <v>305</v>
      </c>
      <c r="D165" s="284"/>
      <c r="E165" s="208"/>
      <c r="F165" s="75"/>
      <c r="G165" s="75"/>
      <c r="H165" s="81"/>
      <c r="I165" s="81"/>
      <c r="J165" s="80"/>
      <c r="K165" s="80"/>
      <c r="L165" s="78"/>
      <c r="M165" s="80"/>
      <c r="N165" s="80"/>
      <c r="O165" s="78"/>
      <c r="P165" s="80"/>
      <c r="Q165" s="78"/>
      <c r="R165" s="78"/>
      <c r="S165" s="80"/>
      <c r="T165" s="78"/>
      <c r="U165" s="78"/>
      <c r="V165" s="80"/>
      <c r="W165" s="78"/>
      <c r="X165" s="78"/>
      <c r="Y165" s="78"/>
      <c r="Z165" s="78"/>
      <c r="AA165" s="78"/>
      <c r="AB165" s="80"/>
      <c r="AC165" s="78"/>
      <c r="AD165" s="78"/>
      <c r="AE165" s="80"/>
      <c r="AF165" s="78"/>
      <c r="AG165" s="78"/>
      <c r="AH165" s="78"/>
      <c r="AI165" s="80"/>
      <c r="AJ165" s="78"/>
      <c r="AK165" s="78"/>
      <c r="AL165" s="79"/>
    </row>
    <row r="166" spans="2:38" ht="31.8" customHeight="1">
      <c r="B166" s="162"/>
      <c r="C166" s="113" t="s">
        <v>141</v>
      </c>
      <c r="D166" s="60"/>
      <c r="E166" s="60"/>
      <c r="F166" s="18"/>
      <c r="G166" s="18"/>
      <c r="H166" s="15"/>
      <c r="I166" s="15"/>
      <c r="J166" s="34"/>
      <c r="K166" s="34"/>
      <c r="L166" s="39"/>
      <c r="M166" s="34"/>
      <c r="N166" s="34"/>
      <c r="O166" s="39"/>
      <c r="P166" s="34"/>
      <c r="Q166" s="39"/>
      <c r="R166" s="39"/>
      <c r="S166" s="34"/>
      <c r="T166" s="39"/>
      <c r="U166" s="39"/>
      <c r="V166" s="34"/>
      <c r="W166" s="39"/>
      <c r="X166" s="39"/>
      <c r="Y166" s="39"/>
      <c r="Z166" s="39"/>
      <c r="AA166" s="39"/>
      <c r="AB166" s="34"/>
      <c r="AC166" s="39"/>
      <c r="AD166" s="39"/>
      <c r="AE166" s="34"/>
      <c r="AF166" s="39"/>
      <c r="AG166" s="39"/>
      <c r="AH166" s="39"/>
      <c r="AI166" s="34"/>
      <c r="AJ166" s="39"/>
      <c r="AK166" s="39"/>
      <c r="AL166" s="40"/>
    </row>
    <row r="167" spans="2:38" ht="49.2" customHeight="1">
      <c r="B167" s="51" t="s">
        <v>36</v>
      </c>
      <c r="C167" s="186" t="s">
        <v>312</v>
      </c>
      <c r="D167" s="46"/>
      <c r="E167" s="187" t="s">
        <v>428</v>
      </c>
      <c r="F167" s="180" t="s">
        <v>195</v>
      </c>
      <c r="G167" s="181" t="s">
        <v>168</v>
      </c>
      <c r="H167" s="199">
        <v>2021</v>
      </c>
      <c r="I167" s="199">
        <v>2023</v>
      </c>
      <c r="J167" s="31">
        <f>'[1]Summary for IPSIS'!$H$132+'[1]Summary for IPSIS'!$I$132</f>
        <v>112896</v>
      </c>
      <c r="K167" s="31">
        <f>'[1]Summary for IPSIS'!$J$132</f>
        <v>0</v>
      </c>
      <c r="L167" s="39">
        <f>SUM(J167:K167)</f>
        <v>112896</v>
      </c>
      <c r="M167" s="31">
        <f>'[1]Summary for IPSIS'!$T$132+'[1]Summary for IPSIS'!$U$132</f>
        <v>112896</v>
      </c>
      <c r="N167" s="31">
        <f>'[1]Summary for IPSIS'!$V$132</f>
        <v>0</v>
      </c>
      <c r="O167" s="39">
        <f>SUM(M167:N167)</f>
        <v>112896</v>
      </c>
      <c r="P167" s="34">
        <f>'[1]Summary for IPSIS'!$AF$132+'[1]Summary for IPSIS'!$AG$132</f>
        <v>0</v>
      </c>
      <c r="Q167" s="39">
        <f>'[1]Summary for IPSIS'!$AH$132</f>
        <v>0</v>
      </c>
      <c r="R167" s="39">
        <f>SUM(P167:Q167)</f>
        <v>0</v>
      </c>
      <c r="S167" s="34">
        <f>'[1]Summary for IPSIS'!$AR$132+'[1]Summary for IPSIS'!$AS$132</f>
        <v>0</v>
      </c>
      <c r="T167" s="39">
        <f>'[1]Summary for IPSIS'!$AT$132</f>
        <v>0</v>
      </c>
      <c r="U167" s="39">
        <f>SUM(S167:T167)</f>
        <v>0</v>
      </c>
      <c r="V167" s="34">
        <f>'[1]Summary for IPSIS'!$BD$132+'[1]Summary for IPSIS'!$BE$132</f>
        <v>0</v>
      </c>
      <c r="W167" s="39">
        <f>'[1]Summary for IPSIS'!$BF$132</f>
        <v>0</v>
      </c>
      <c r="X167" s="39">
        <f>SUM(V167:W167)</f>
        <v>0</v>
      </c>
      <c r="Y167" s="39">
        <f>J167+M167+P167+S167+V167</f>
        <v>225792</v>
      </c>
      <c r="Z167" s="39">
        <f>K167+N167+Q167+T167+W167</f>
        <v>0</v>
      </c>
      <c r="AA167" s="39">
        <f>SUM(Y167:Z167)</f>
        <v>225792</v>
      </c>
      <c r="AB167" s="34">
        <f>112896+112896+0</f>
        <v>225792</v>
      </c>
      <c r="AC167" s="39">
        <f>0</f>
        <v>0</v>
      </c>
      <c r="AD167" s="39">
        <f>SUM(AB167:AC167)</f>
        <v>225792</v>
      </c>
      <c r="AE167" s="34">
        <f>0</f>
        <v>0</v>
      </c>
      <c r="AF167" s="39">
        <f>0</f>
        <v>0</v>
      </c>
      <c r="AG167" s="39"/>
      <c r="AH167" s="39">
        <f>AE167+AF167</f>
        <v>0</v>
      </c>
      <c r="AI167" s="34">
        <f>0</f>
        <v>0</v>
      </c>
      <c r="AJ167" s="39">
        <f>0</f>
        <v>0</v>
      </c>
      <c r="AK167" s="39">
        <f>SUM(AI167:AJ167)</f>
        <v>0</v>
      </c>
      <c r="AL167" s="210">
        <f t="shared" ref="AL167:AL177" si="121">SUM(AK167+AH167+AD167)-AA167</f>
        <v>0</v>
      </c>
    </row>
    <row r="168" spans="2:38" ht="36">
      <c r="B168" s="51" t="s">
        <v>38</v>
      </c>
      <c r="C168" s="186" t="s">
        <v>507</v>
      </c>
      <c r="D168" s="46"/>
      <c r="E168" s="201" t="s">
        <v>699</v>
      </c>
      <c r="F168" s="180" t="s">
        <v>195</v>
      </c>
      <c r="G168" s="181" t="s">
        <v>168</v>
      </c>
      <c r="H168" s="199">
        <v>2022</v>
      </c>
      <c r="I168" s="199">
        <v>2023</v>
      </c>
      <c r="J168" s="31">
        <f>'[1]Summary for IPSIS'!$H$133+'[1]Summary for IPSIS'!$I$133</f>
        <v>0</v>
      </c>
      <c r="K168" s="31">
        <f>'[1]Summary for IPSIS'!$J$133</f>
        <v>0</v>
      </c>
      <c r="L168" s="39">
        <f t="shared" ref="L168:L177" si="122">SUM(J168:K168)</f>
        <v>0</v>
      </c>
      <c r="M168" s="31">
        <f>'[1]Summary for IPSIS'!$T$133+'[1]Summary for IPSIS'!$U$133</f>
        <v>1142400</v>
      </c>
      <c r="N168" s="31">
        <f>'[1]Summary for IPSIS'!$V$133</f>
        <v>0</v>
      </c>
      <c r="O168" s="39">
        <f t="shared" ref="O168:O177" si="123">SUM(M168:N168)</f>
        <v>1142400</v>
      </c>
      <c r="P168" s="34">
        <f>'[1]Summary for IPSIS'!$AF$133+'[1]Summary for IPSIS'!$AG$133</f>
        <v>1142400</v>
      </c>
      <c r="Q168" s="39">
        <f>'[1]Summary for IPSIS'!$AH$133</f>
        <v>0</v>
      </c>
      <c r="R168" s="39">
        <f t="shared" ref="R168:R177" si="124">SUM(P168:Q168)</f>
        <v>1142400</v>
      </c>
      <c r="S168" s="34">
        <f>'[1]Summary for IPSIS'!$AR$133+'[1]Summary for IPSIS'!$AS$133</f>
        <v>0</v>
      </c>
      <c r="T168" s="39">
        <f>'[1]Summary for IPSIS'!$AT$133</f>
        <v>0</v>
      </c>
      <c r="U168" s="39">
        <f t="shared" ref="U168:U177" si="125">SUM(S168:T168)</f>
        <v>0</v>
      </c>
      <c r="V168" s="34">
        <f>'[1]Summary for IPSIS'!$BD$133+'[1]Summary for IPSIS'!$BE$133</f>
        <v>0</v>
      </c>
      <c r="W168" s="39">
        <f>'[1]Summary for IPSIS'!$BF$133</f>
        <v>0</v>
      </c>
      <c r="X168" s="39">
        <f t="shared" ref="X168:X177" si="126">SUM(V168:W168)</f>
        <v>0</v>
      </c>
      <c r="Y168" s="39">
        <f t="shared" ref="Y168:Y177" si="127">J168+M168+P168+S168+V168</f>
        <v>2284800</v>
      </c>
      <c r="Z168" s="39">
        <f t="shared" ref="Z168:Z177" si="128">K168+N168+Q168+T168+W168</f>
        <v>0</v>
      </c>
      <c r="AA168" s="39">
        <f t="shared" ref="AA168:AA177" si="129">SUM(Y168:Z168)</f>
        <v>2284800</v>
      </c>
      <c r="AB168" s="34">
        <f>0</f>
        <v>0</v>
      </c>
      <c r="AC168" s="39">
        <f>0</f>
        <v>0</v>
      </c>
      <c r="AD168" s="39">
        <f t="shared" ref="AD168:AD177" si="130">SUM(AB168:AC168)</f>
        <v>0</v>
      </c>
      <c r="AE168" s="34">
        <f>0</f>
        <v>0</v>
      </c>
      <c r="AF168" s="39">
        <f>0</f>
        <v>0</v>
      </c>
      <c r="AG168" s="39"/>
      <c r="AH168" s="39">
        <f t="shared" ref="AH168:AH177" si="131">AE168+AF168</f>
        <v>0</v>
      </c>
      <c r="AI168" s="34">
        <f>0</f>
        <v>0</v>
      </c>
      <c r="AJ168" s="39">
        <f>0</f>
        <v>0</v>
      </c>
      <c r="AK168" s="39">
        <f t="shared" ref="AK168:AK177" si="132">SUM(AI168:AJ168)</f>
        <v>0</v>
      </c>
      <c r="AL168" s="210">
        <f t="shared" si="121"/>
        <v>-2284800</v>
      </c>
    </row>
    <row r="169" spans="2:38" ht="36">
      <c r="B169" s="51" t="s">
        <v>75</v>
      </c>
      <c r="C169" s="186" t="s">
        <v>508</v>
      </c>
      <c r="D169" s="46"/>
      <c r="E169" s="187" t="s">
        <v>699</v>
      </c>
      <c r="F169" s="180" t="s">
        <v>195</v>
      </c>
      <c r="G169" s="181"/>
      <c r="H169" s="199">
        <v>2022</v>
      </c>
      <c r="I169" s="199">
        <v>2023</v>
      </c>
      <c r="J169" s="31">
        <f>'[1]Summary for IPSIS'!$H$134+'[1]Summary for IPSIS'!$I$134</f>
        <v>0</v>
      </c>
      <c r="K169" s="31">
        <f>'[1]Summary for IPSIS'!$J$134</f>
        <v>0</v>
      </c>
      <c r="L169" s="39">
        <f t="shared" si="122"/>
        <v>0</v>
      </c>
      <c r="M169" s="31">
        <f>'[1]Summary for IPSIS'!$T$134+'[1]Summary for IPSIS'!$U$134</f>
        <v>1140000</v>
      </c>
      <c r="N169" s="31">
        <f>'[1]Summary for IPSIS'!$V$134</f>
        <v>0</v>
      </c>
      <c r="O169" s="39">
        <f t="shared" si="123"/>
        <v>1140000</v>
      </c>
      <c r="P169" s="34">
        <f>'[1]Summary for IPSIS'!$AF$134+'[1]Summary for IPSIS'!$AG$134</f>
        <v>420000</v>
      </c>
      <c r="Q169" s="39">
        <f>'[1]Summary for IPSIS'!$AH$134</f>
        <v>0</v>
      </c>
      <c r="R169" s="39">
        <f t="shared" si="124"/>
        <v>420000</v>
      </c>
      <c r="S169" s="34">
        <f>'[1]Summary for IPSIS'!$AR$134+'[1]Summary for IPSIS'!$AS$134</f>
        <v>0</v>
      </c>
      <c r="T169" s="39">
        <f>'[1]Summary for IPSIS'!$AT$134</f>
        <v>0</v>
      </c>
      <c r="U169" s="39">
        <f t="shared" si="125"/>
        <v>0</v>
      </c>
      <c r="V169" s="34">
        <f>'[1]Summary for IPSIS'!$BD$134+'[1]Summary for IPSIS'!$BE$134</f>
        <v>0</v>
      </c>
      <c r="W169" s="39">
        <f>'[1]Summary for IPSIS'!$BF$134</f>
        <v>0</v>
      </c>
      <c r="X169" s="39">
        <f t="shared" si="126"/>
        <v>0</v>
      </c>
      <c r="Y169" s="39">
        <f t="shared" si="127"/>
        <v>1560000</v>
      </c>
      <c r="Z169" s="39">
        <f t="shared" si="128"/>
        <v>0</v>
      </c>
      <c r="AA169" s="39">
        <f t="shared" si="129"/>
        <v>1560000</v>
      </c>
      <c r="AB169" s="34">
        <f>0</f>
        <v>0</v>
      </c>
      <c r="AC169" s="39">
        <f>0</f>
        <v>0</v>
      </c>
      <c r="AD169" s="39">
        <f t="shared" si="130"/>
        <v>0</v>
      </c>
      <c r="AE169" s="34">
        <f>0</f>
        <v>0</v>
      </c>
      <c r="AF169" s="39">
        <f>0</f>
        <v>0</v>
      </c>
      <c r="AG169" s="39"/>
      <c r="AH169" s="39">
        <f t="shared" si="131"/>
        <v>0</v>
      </c>
      <c r="AI169" s="34">
        <f>0</f>
        <v>0</v>
      </c>
      <c r="AJ169" s="39">
        <f>0</f>
        <v>0</v>
      </c>
      <c r="AK169" s="39">
        <f t="shared" si="132"/>
        <v>0</v>
      </c>
      <c r="AL169" s="210">
        <f t="shared" si="121"/>
        <v>-1560000</v>
      </c>
    </row>
    <row r="170" spans="2:38" ht="31.2" customHeight="1">
      <c r="B170" s="51" t="s">
        <v>76</v>
      </c>
      <c r="C170" s="186" t="s">
        <v>509</v>
      </c>
      <c r="D170" s="46"/>
      <c r="E170" s="201" t="s">
        <v>699</v>
      </c>
      <c r="F170" s="180" t="s">
        <v>195</v>
      </c>
      <c r="G170" s="181"/>
      <c r="H170" s="199">
        <v>2021</v>
      </c>
      <c r="I170" s="199">
        <v>2025</v>
      </c>
      <c r="J170" s="31">
        <f>'[1]Summary for IPSIS'!$H$135+'[1]Summary for IPSIS'!$I$135</f>
        <v>0</v>
      </c>
      <c r="K170" s="31">
        <f>'[1]Summary for IPSIS'!$J$135</f>
        <v>0</v>
      </c>
      <c r="L170" s="39">
        <f t="shared" si="122"/>
        <v>0</v>
      </c>
      <c r="M170" s="31">
        <f>'[1]Summary for IPSIS'!$T$135+'[1]Summary for IPSIS'!$U$135</f>
        <v>480000</v>
      </c>
      <c r="N170" s="31">
        <f>'[1]Summary for IPSIS'!$V$135</f>
        <v>0</v>
      </c>
      <c r="O170" s="39">
        <f t="shared" si="123"/>
        <v>480000</v>
      </c>
      <c r="P170" s="34">
        <f>'[1]Summary for IPSIS'!$AF$135+'[1]Summary for IPSIS'!$AG$135</f>
        <v>480000</v>
      </c>
      <c r="Q170" s="39">
        <f>'[1]Summary for IPSIS'!$AH$135</f>
        <v>0</v>
      </c>
      <c r="R170" s="39">
        <f t="shared" si="124"/>
        <v>480000</v>
      </c>
      <c r="S170" s="34">
        <f>'[1]Summary for IPSIS'!$AR$135+'[1]Summary for IPSIS'!$AS$135</f>
        <v>480000</v>
      </c>
      <c r="T170" s="39">
        <f>'[1]Summary for IPSIS'!$AT$135</f>
        <v>0</v>
      </c>
      <c r="U170" s="39">
        <f t="shared" si="125"/>
        <v>480000</v>
      </c>
      <c r="V170" s="34">
        <f>'[1]Summary for IPSIS'!$BD$135+'[1]Summary for IPSIS'!$BE$135</f>
        <v>480000</v>
      </c>
      <c r="W170" s="39">
        <f>'[1]Summary for IPSIS'!$BF$135</f>
        <v>0</v>
      </c>
      <c r="X170" s="39">
        <f t="shared" si="126"/>
        <v>480000</v>
      </c>
      <c r="Y170" s="39">
        <f t="shared" si="127"/>
        <v>1920000</v>
      </c>
      <c r="Z170" s="39">
        <f t="shared" si="128"/>
        <v>0</v>
      </c>
      <c r="AA170" s="39">
        <f t="shared" si="129"/>
        <v>1920000</v>
      </c>
      <c r="AB170" s="34">
        <f>480000+480000</f>
        <v>960000</v>
      </c>
      <c r="AC170" s="39">
        <f>0</f>
        <v>0</v>
      </c>
      <c r="AD170" s="39">
        <f t="shared" si="130"/>
        <v>960000</v>
      </c>
      <c r="AE170" s="34">
        <f>0</f>
        <v>0</v>
      </c>
      <c r="AF170" s="39">
        <f>0</f>
        <v>0</v>
      </c>
      <c r="AG170" s="39"/>
      <c r="AH170" s="39">
        <f t="shared" si="131"/>
        <v>0</v>
      </c>
      <c r="AI170" s="34">
        <f>480000+480000</f>
        <v>960000</v>
      </c>
      <c r="AJ170" s="39">
        <f>0</f>
        <v>0</v>
      </c>
      <c r="AK170" s="39">
        <f t="shared" si="132"/>
        <v>960000</v>
      </c>
      <c r="AL170" s="210">
        <f t="shared" si="121"/>
        <v>0</v>
      </c>
    </row>
    <row r="171" spans="2:38" ht="37.200000000000003" customHeight="1">
      <c r="B171" s="51" t="s">
        <v>306</v>
      </c>
      <c r="C171" s="188" t="s">
        <v>510</v>
      </c>
      <c r="D171" s="46"/>
      <c r="E171" s="189" t="s">
        <v>700</v>
      </c>
      <c r="F171" s="180" t="s">
        <v>195</v>
      </c>
      <c r="G171" s="181"/>
      <c r="H171" s="200">
        <v>2021</v>
      </c>
      <c r="I171" s="200">
        <v>2025</v>
      </c>
      <c r="J171" s="31">
        <f>'[1]Summary for IPSIS'!$H$136+'[1]Summary for IPSIS'!$I$136</f>
        <v>1900416</v>
      </c>
      <c r="K171" s="31">
        <f>'[1]Summary for IPSIS'!$J$136</f>
        <v>0</v>
      </c>
      <c r="L171" s="39">
        <f t="shared" si="122"/>
        <v>1900416</v>
      </c>
      <c r="M171" s="31">
        <f>'[1]Summary for IPSIS'!$T$136+'[1]Summary for IPSIS'!$U$136</f>
        <v>1900416</v>
      </c>
      <c r="N171" s="31">
        <f>'[1]Summary for IPSIS'!$V$136</f>
        <v>0</v>
      </c>
      <c r="O171" s="39">
        <f t="shared" si="123"/>
        <v>1900416</v>
      </c>
      <c r="P171" s="34">
        <f>'[1]Summary for IPSIS'!$AF$136+'[1]Summary for IPSIS'!$AG$136</f>
        <v>1900416</v>
      </c>
      <c r="Q171" s="39">
        <f>'[1]Summary for IPSIS'!$AH$136</f>
        <v>0</v>
      </c>
      <c r="R171" s="39">
        <f t="shared" si="124"/>
        <v>1900416</v>
      </c>
      <c r="S171" s="34">
        <f>'[1]Summary for IPSIS'!$AR$136+'[1]Summary for IPSIS'!$AS$136</f>
        <v>1900416</v>
      </c>
      <c r="T171" s="39">
        <f>'[1]Summary for IPSIS'!$AT$136</f>
        <v>0</v>
      </c>
      <c r="U171" s="39">
        <f t="shared" si="125"/>
        <v>1900416</v>
      </c>
      <c r="V171" s="34">
        <f>'[1]Summary for IPSIS'!$BD$136+'[1]Summary for IPSIS'!$BE$136</f>
        <v>1900416</v>
      </c>
      <c r="W171" s="39">
        <f>'[1]Summary for IPSIS'!$BF$136</f>
        <v>0</v>
      </c>
      <c r="X171" s="39">
        <f t="shared" si="126"/>
        <v>1900416</v>
      </c>
      <c r="Y171" s="39">
        <f t="shared" si="127"/>
        <v>9502080</v>
      </c>
      <c r="Z171" s="39">
        <f t="shared" si="128"/>
        <v>0</v>
      </c>
      <c r="AA171" s="39">
        <f t="shared" si="129"/>
        <v>9502080</v>
      </c>
      <c r="AB171" s="34">
        <f>1900416+1900416+1900416</f>
        <v>5701248</v>
      </c>
      <c r="AC171" s="39">
        <f>0</f>
        <v>0</v>
      </c>
      <c r="AD171" s="39">
        <f t="shared" si="130"/>
        <v>5701248</v>
      </c>
      <c r="AE171" s="34">
        <f>0</f>
        <v>0</v>
      </c>
      <c r="AF171" s="39">
        <f>0</f>
        <v>0</v>
      </c>
      <c r="AG171" s="39"/>
      <c r="AH171" s="39">
        <f t="shared" si="131"/>
        <v>0</v>
      </c>
      <c r="AI171" s="34">
        <f>1900416+1900416</f>
        <v>3800832</v>
      </c>
      <c r="AJ171" s="39">
        <f>0</f>
        <v>0</v>
      </c>
      <c r="AK171" s="39">
        <f t="shared" si="132"/>
        <v>3800832</v>
      </c>
      <c r="AL171" s="210">
        <f t="shared" si="121"/>
        <v>0</v>
      </c>
    </row>
    <row r="172" spans="2:38" ht="34.799999999999997" customHeight="1">
      <c r="B172" s="51" t="s">
        <v>307</v>
      </c>
      <c r="C172" s="188" t="s">
        <v>511</v>
      </c>
      <c r="D172" s="46"/>
      <c r="E172" s="189" t="s">
        <v>700</v>
      </c>
      <c r="F172" s="180" t="s">
        <v>195</v>
      </c>
      <c r="G172" s="181" t="s">
        <v>314</v>
      </c>
      <c r="H172" s="200">
        <v>2021</v>
      </c>
      <c r="I172" s="200">
        <v>2025</v>
      </c>
      <c r="J172" s="31">
        <f>'[1]Summary for IPSIS'!$H$137+'[1]Summary for IPSIS'!$I$137</f>
        <v>735280</v>
      </c>
      <c r="K172" s="31">
        <f>'[1]Summary for IPSIS'!$J$137</f>
        <v>0</v>
      </c>
      <c r="L172" s="39">
        <f t="shared" si="122"/>
        <v>735280</v>
      </c>
      <c r="M172" s="31">
        <f>'[1]Summary for IPSIS'!$T$137+'[1]Summary for IPSIS'!$U$137</f>
        <v>735280</v>
      </c>
      <c r="N172" s="31">
        <f>'[1]Summary for IPSIS'!$V$137</f>
        <v>0</v>
      </c>
      <c r="O172" s="39">
        <f t="shared" si="123"/>
        <v>735280</v>
      </c>
      <c r="P172" s="34">
        <f>'[1]Summary for IPSIS'!$AF$137+'[1]Summary for IPSIS'!$AG$137</f>
        <v>180880</v>
      </c>
      <c r="Q172" s="39">
        <f>'[1]Summary for IPSIS'!$AH$137</f>
        <v>0</v>
      </c>
      <c r="R172" s="39">
        <f t="shared" si="124"/>
        <v>180880</v>
      </c>
      <c r="S172" s="34">
        <f>'[1]Summary for IPSIS'!$AR$137+'[1]Summary for IPSIS'!$AS$137</f>
        <v>180880</v>
      </c>
      <c r="T172" s="39">
        <f>'[1]Summary for IPSIS'!$AT$137</f>
        <v>0</v>
      </c>
      <c r="U172" s="39">
        <f t="shared" si="125"/>
        <v>180880</v>
      </c>
      <c r="V172" s="34">
        <f>'[1]Summary for IPSIS'!$BD$137+'[1]Summary for IPSIS'!$BE$137</f>
        <v>180880</v>
      </c>
      <c r="W172" s="39">
        <f>'[1]Summary for IPSIS'!$BF$137</f>
        <v>0</v>
      </c>
      <c r="X172" s="39">
        <f t="shared" si="126"/>
        <v>180880</v>
      </c>
      <c r="Y172" s="39">
        <f t="shared" si="127"/>
        <v>2013200</v>
      </c>
      <c r="Z172" s="39">
        <f t="shared" si="128"/>
        <v>0</v>
      </c>
      <c r="AA172" s="39">
        <f t="shared" si="129"/>
        <v>2013200</v>
      </c>
      <c r="AB172" s="34">
        <f>180880+180880+180880</f>
        <v>542640</v>
      </c>
      <c r="AC172" s="39">
        <f>0</f>
        <v>0</v>
      </c>
      <c r="AD172" s="39">
        <f t="shared" si="130"/>
        <v>542640</v>
      </c>
      <c r="AE172" s="34">
        <f>0</f>
        <v>0</v>
      </c>
      <c r="AF172" s="39">
        <f>0</f>
        <v>0</v>
      </c>
      <c r="AG172" s="39"/>
      <c r="AH172" s="39">
        <f t="shared" si="131"/>
        <v>0</v>
      </c>
      <c r="AI172" s="34">
        <f>180880+180880</f>
        <v>361760</v>
      </c>
      <c r="AJ172" s="39">
        <f>0</f>
        <v>0</v>
      </c>
      <c r="AK172" s="39">
        <f t="shared" si="132"/>
        <v>361760</v>
      </c>
      <c r="AL172" s="210">
        <f t="shared" si="121"/>
        <v>-1108800</v>
      </c>
    </row>
    <row r="173" spans="2:38" ht="48">
      <c r="B173" s="51" t="s">
        <v>308</v>
      </c>
      <c r="C173" s="186" t="s">
        <v>313</v>
      </c>
      <c r="D173" s="46"/>
      <c r="E173" s="187" t="s">
        <v>699</v>
      </c>
      <c r="F173" s="180" t="s">
        <v>195</v>
      </c>
      <c r="G173" s="181"/>
      <c r="H173" s="199">
        <v>2021</v>
      </c>
      <c r="I173" s="199">
        <v>2023</v>
      </c>
      <c r="J173" s="31">
        <f>'[1]Summary for IPSIS'!$H$138+'[1]Summary for IPSIS'!$I$138</f>
        <v>1900416</v>
      </c>
      <c r="K173" s="31">
        <f>'[1]Summary for IPSIS'!$J$138</f>
        <v>0</v>
      </c>
      <c r="L173" s="39">
        <f t="shared" si="122"/>
        <v>1900416</v>
      </c>
      <c r="M173" s="31">
        <f>'[1]Summary for IPSIS'!$T$138+'[1]Summary for IPSIS'!$U$138</f>
        <v>1900416</v>
      </c>
      <c r="N173" s="31">
        <f>'[1]Summary for IPSIS'!$V$138</f>
        <v>0</v>
      </c>
      <c r="O173" s="39">
        <f t="shared" si="123"/>
        <v>1900416</v>
      </c>
      <c r="P173" s="34">
        <f>'[1]Summary for IPSIS'!$AF$138+'[1]Summary for IPSIS'!$AG$138</f>
        <v>1900416</v>
      </c>
      <c r="Q173" s="39">
        <f>'[1]Summary for IPSIS'!$AH$138</f>
        <v>0</v>
      </c>
      <c r="R173" s="39">
        <f t="shared" si="124"/>
        <v>1900416</v>
      </c>
      <c r="S173" s="34">
        <f>'[1]Summary for IPSIS'!$AR$138+'[1]Summary for IPSIS'!$AS$138</f>
        <v>0</v>
      </c>
      <c r="T173" s="39">
        <f>'[1]Summary for IPSIS'!$AT$138</f>
        <v>0</v>
      </c>
      <c r="U173" s="39">
        <f t="shared" si="125"/>
        <v>0</v>
      </c>
      <c r="V173" s="34">
        <f>'[1]Summary for IPSIS'!$BD$138+'[1]Summary for IPSIS'!$BE$138</f>
        <v>0</v>
      </c>
      <c r="W173" s="39">
        <f>'[1]Summary for IPSIS'!$BF$138</f>
        <v>0</v>
      </c>
      <c r="X173" s="39">
        <f t="shared" si="126"/>
        <v>0</v>
      </c>
      <c r="Y173" s="39">
        <f t="shared" si="127"/>
        <v>5701248</v>
      </c>
      <c r="Z173" s="39">
        <f t="shared" si="128"/>
        <v>0</v>
      </c>
      <c r="AA173" s="39">
        <f t="shared" si="129"/>
        <v>5701248</v>
      </c>
      <c r="AB173" s="34">
        <f>1900416+1900416+1900416</f>
        <v>5701248</v>
      </c>
      <c r="AC173" s="39">
        <f>0</f>
        <v>0</v>
      </c>
      <c r="AD173" s="39">
        <f t="shared" si="130"/>
        <v>5701248</v>
      </c>
      <c r="AE173" s="34">
        <f>0</f>
        <v>0</v>
      </c>
      <c r="AF173" s="39">
        <f>0</f>
        <v>0</v>
      </c>
      <c r="AG173" s="39"/>
      <c r="AH173" s="39">
        <f t="shared" si="131"/>
        <v>0</v>
      </c>
      <c r="AI173" s="34">
        <f>0</f>
        <v>0</v>
      </c>
      <c r="AJ173" s="39">
        <f>0</f>
        <v>0</v>
      </c>
      <c r="AK173" s="39">
        <f t="shared" si="132"/>
        <v>0</v>
      </c>
      <c r="AL173" s="210">
        <f t="shared" si="121"/>
        <v>0</v>
      </c>
    </row>
    <row r="174" spans="2:38" ht="24">
      <c r="B174" s="51" t="s">
        <v>309</v>
      </c>
      <c r="C174" s="195" t="s">
        <v>512</v>
      </c>
      <c r="D174" s="46"/>
      <c r="E174" s="201" t="s">
        <v>699</v>
      </c>
      <c r="F174" s="180" t="s">
        <v>195</v>
      </c>
      <c r="G174" s="181"/>
      <c r="H174" s="199">
        <v>2022</v>
      </c>
      <c r="I174" s="199">
        <v>2023</v>
      </c>
      <c r="J174" s="31">
        <f>'[1]Summary for IPSIS'!$H$139+'[1]Summary for IPSIS'!$I$139</f>
        <v>0</v>
      </c>
      <c r="K174" s="31">
        <f>'[1]Summary for IPSIS'!$J$139</f>
        <v>0</v>
      </c>
      <c r="L174" s="39">
        <f t="shared" si="122"/>
        <v>0</v>
      </c>
      <c r="M174" s="31">
        <f>'[1]Summary for IPSIS'!$T$139+'[1]Summary for IPSIS'!$U$139</f>
        <v>1120800</v>
      </c>
      <c r="N174" s="31">
        <f>'[1]Summary for IPSIS'!$V$139</f>
        <v>0</v>
      </c>
      <c r="O174" s="39">
        <f t="shared" si="123"/>
        <v>1120800</v>
      </c>
      <c r="P174" s="34">
        <f>'[1]Summary for IPSIS'!$AF$139+'[1]Summary for IPSIS'!$AG$139</f>
        <v>1120800</v>
      </c>
      <c r="Q174" s="39">
        <f>'[1]Summary for IPSIS'!$AH$139</f>
        <v>0</v>
      </c>
      <c r="R174" s="39">
        <f t="shared" si="124"/>
        <v>1120800</v>
      </c>
      <c r="S174" s="34">
        <f>'[1]Summary for IPSIS'!$AR$139+'[1]Summary for IPSIS'!$AS$139</f>
        <v>0</v>
      </c>
      <c r="T174" s="39">
        <f>'[1]Summary for IPSIS'!$AT$139</f>
        <v>0</v>
      </c>
      <c r="U174" s="39">
        <f t="shared" si="125"/>
        <v>0</v>
      </c>
      <c r="V174" s="34">
        <f>'[1]Summary for IPSIS'!$BD$139+'[1]Summary for IPSIS'!$BE$139</f>
        <v>0</v>
      </c>
      <c r="W174" s="39">
        <f>'[1]Summary for IPSIS'!$BF$139</f>
        <v>0</v>
      </c>
      <c r="X174" s="39">
        <f t="shared" si="126"/>
        <v>0</v>
      </c>
      <c r="Y174" s="39">
        <f t="shared" si="127"/>
        <v>2241600</v>
      </c>
      <c r="Z174" s="39">
        <f t="shared" si="128"/>
        <v>0</v>
      </c>
      <c r="AA174" s="39">
        <f t="shared" si="129"/>
        <v>2241600</v>
      </c>
      <c r="AB174" s="34">
        <f>0</f>
        <v>0</v>
      </c>
      <c r="AC174" s="39">
        <f>0</f>
        <v>0</v>
      </c>
      <c r="AD174" s="39">
        <f t="shared" si="130"/>
        <v>0</v>
      </c>
      <c r="AE174" s="34">
        <f>0</f>
        <v>0</v>
      </c>
      <c r="AF174" s="39">
        <f>0</f>
        <v>0</v>
      </c>
      <c r="AG174" s="39"/>
      <c r="AH174" s="39">
        <f t="shared" si="131"/>
        <v>0</v>
      </c>
      <c r="AI174" s="34">
        <f>0</f>
        <v>0</v>
      </c>
      <c r="AJ174" s="39">
        <f>0</f>
        <v>0</v>
      </c>
      <c r="AK174" s="39">
        <f t="shared" si="132"/>
        <v>0</v>
      </c>
      <c r="AL174" s="210">
        <f t="shared" si="121"/>
        <v>-2241600</v>
      </c>
    </row>
    <row r="175" spans="2:38" ht="24">
      <c r="B175" s="51" t="s">
        <v>310</v>
      </c>
      <c r="C175" s="195" t="s">
        <v>315</v>
      </c>
      <c r="D175" s="46"/>
      <c r="E175" s="201" t="s">
        <v>699</v>
      </c>
      <c r="F175" s="180" t="s">
        <v>195</v>
      </c>
      <c r="G175" s="181"/>
      <c r="H175" s="199">
        <v>2021</v>
      </c>
      <c r="I175" s="199">
        <v>2023</v>
      </c>
      <c r="J175" s="31">
        <f>'[1]Summary for IPSIS'!$H$140+'[1]Summary for IPSIS'!$I$140</f>
        <v>228000</v>
      </c>
      <c r="K175" s="31">
        <f>'[1]Summary for IPSIS'!$J$140</f>
        <v>0</v>
      </c>
      <c r="L175" s="39">
        <f t="shared" si="122"/>
        <v>228000</v>
      </c>
      <c r="M175" s="31">
        <f>'[1]Summary for IPSIS'!$T$140+'[1]Summary for IPSIS'!$U$140</f>
        <v>228000</v>
      </c>
      <c r="N175" s="31">
        <f>'[1]Summary for IPSIS'!$V$140</f>
        <v>0</v>
      </c>
      <c r="O175" s="39">
        <f t="shared" si="123"/>
        <v>228000</v>
      </c>
      <c r="P175" s="34">
        <f>'[1]Summary for IPSIS'!$AF$140+'[1]Summary for IPSIS'!$AG$140</f>
        <v>342000</v>
      </c>
      <c r="Q175" s="39">
        <f>'[1]Summary for IPSIS'!$AH$140</f>
        <v>0</v>
      </c>
      <c r="R175" s="39">
        <f t="shared" si="124"/>
        <v>342000</v>
      </c>
      <c r="S175" s="34">
        <f>'[1]Summary for IPSIS'!$AR$140+'[1]Summary for IPSIS'!$AS$140</f>
        <v>0</v>
      </c>
      <c r="T175" s="39">
        <f>'[1]Summary for IPSIS'!$AT$140</f>
        <v>0</v>
      </c>
      <c r="U175" s="39">
        <f t="shared" si="125"/>
        <v>0</v>
      </c>
      <c r="V175" s="34">
        <f>'[1]Summary for IPSIS'!$BD$140+'[1]Summary for IPSIS'!$BE$140</f>
        <v>0</v>
      </c>
      <c r="W175" s="39">
        <f>'[1]Summary for IPSIS'!$BF$140</f>
        <v>0</v>
      </c>
      <c r="X175" s="39">
        <f t="shared" si="126"/>
        <v>0</v>
      </c>
      <c r="Y175" s="39">
        <f t="shared" si="127"/>
        <v>798000</v>
      </c>
      <c r="Z175" s="39">
        <f t="shared" si="128"/>
        <v>0</v>
      </c>
      <c r="AA175" s="39">
        <f t="shared" si="129"/>
        <v>798000</v>
      </c>
      <c r="AB175" s="34">
        <f>0</f>
        <v>0</v>
      </c>
      <c r="AC175" s="39">
        <f>0</f>
        <v>0</v>
      </c>
      <c r="AD175" s="39">
        <f t="shared" si="130"/>
        <v>0</v>
      </c>
      <c r="AE175" s="34">
        <f>0</f>
        <v>0</v>
      </c>
      <c r="AF175" s="39">
        <f>0</f>
        <v>0</v>
      </c>
      <c r="AG175" s="39"/>
      <c r="AH175" s="39">
        <f t="shared" si="131"/>
        <v>0</v>
      </c>
      <c r="AI175" s="34">
        <f>0</f>
        <v>0</v>
      </c>
      <c r="AJ175" s="39">
        <f>0</f>
        <v>0</v>
      </c>
      <c r="AK175" s="39">
        <f t="shared" si="132"/>
        <v>0</v>
      </c>
      <c r="AL175" s="210">
        <f t="shared" si="121"/>
        <v>-798000</v>
      </c>
    </row>
    <row r="176" spans="2:38" ht="24">
      <c r="B176" s="51" t="s">
        <v>311</v>
      </c>
      <c r="C176" s="195" t="s">
        <v>316</v>
      </c>
      <c r="D176" s="46"/>
      <c r="E176" s="201" t="s">
        <v>699</v>
      </c>
      <c r="F176" s="180" t="s">
        <v>195</v>
      </c>
      <c r="G176" s="181"/>
      <c r="H176" s="199">
        <v>2023</v>
      </c>
      <c r="I176" s="199">
        <v>2025</v>
      </c>
      <c r="J176" s="31">
        <f>'[1]Summary for IPSIS'!$H$141+'[1]Summary for IPSIS'!$I$141</f>
        <v>0</v>
      </c>
      <c r="K176" s="31">
        <f>'[1]Summary for IPSIS'!$J$141</f>
        <v>0</v>
      </c>
      <c r="L176" s="39">
        <f t="shared" si="122"/>
        <v>0</v>
      </c>
      <c r="M176" s="31">
        <f>'[1]Summary for IPSIS'!$T$141+'[1]Summary for IPSIS'!$U$141</f>
        <v>0</v>
      </c>
      <c r="N176" s="31">
        <f>'[1]Summary for IPSIS'!$V$141</f>
        <v>0</v>
      </c>
      <c r="O176" s="39">
        <f t="shared" si="123"/>
        <v>0</v>
      </c>
      <c r="P176" s="34">
        <f>'[1]Summary for IPSIS'!$AF$141+'[1]Summary for IPSIS'!$AG$141</f>
        <v>10200000</v>
      </c>
      <c r="Q176" s="39">
        <f>'[1]Summary for IPSIS'!$AH$141</f>
        <v>0</v>
      </c>
      <c r="R176" s="39">
        <f t="shared" si="124"/>
        <v>10200000</v>
      </c>
      <c r="S176" s="34">
        <f>'[1]Summary for IPSIS'!$AR$141+'[1]Summary for IPSIS'!$AS$141</f>
        <v>10200000</v>
      </c>
      <c r="T176" s="39">
        <f>'[1]Summary for IPSIS'!$AT$141</f>
        <v>0</v>
      </c>
      <c r="U176" s="39">
        <f t="shared" si="125"/>
        <v>10200000</v>
      </c>
      <c r="V176" s="34">
        <f>'[1]Summary for IPSIS'!$BD$141+'[1]Summary for IPSIS'!$BE$141</f>
        <v>10200000</v>
      </c>
      <c r="W176" s="39">
        <f>'[1]Summary for IPSIS'!$BF$141</f>
        <v>0</v>
      </c>
      <c r="X176" s="39">
        <f t="shared" si="126"/>
        <v>10200000</v>
      </c>
      <c r="Y176" s="39">
        <f t="shared" si="127"/>
        <v>30600000</v>
      </c>
      <c r="Z176" s="39">
        <f t="shared" si="128"/>
        <v>0</v>
      </c>
      <c r="AA176" s="39">
        <f t="shared" si="129"/>
        <v>30600000</v>
      </c>
      <c r="AB176" s="34">
        <f>10200000</f>
        <v>10200000</v>
      </c>
      <c r="AC176" s="39">
        <f>0</f>
        <v>0</v>
      </c>
      <c r="AD176" s="39">
        <f t="shared" si="130"/>
        <v>10200000</v>
      </c>
      <c r="AE176" s="34">
        <f>0</f>
        <v>0</v>
      </c>
      <c r="AF176" s="39">
        <f>0</f>
        <v>0</v>
      </c>
      <c r="AG176" s="39"/>
      <c r="AH176" s="39">
        <f t="shared" si="131"/>
        <v>0</v>
      </c>
      <c r="AI176" s="34">
        <f>10200000+10200000</f>
        <v>20400000</v>
      </c>
      <c r="AJ176" s="39">
        <f>0</f>
        <v>0</v>
      </c>
      <c r="AK176" s="39">
        <f t="shared" si="132"/>
        <v>20400000</v>
      </c>
      <c r="AL176" s="210">
        <f t="shared" si="121"/>
        <v>0</v>
      </c>
    </row>
    <row r="177" spans="2:46" ht="27" customHeight="1" thickBot="1">
      <c r="B177" s="240" t="s">
        <v>506</v>
      </c>
      <c r="C177" s="219" t="s">
        <v>317</v>
      </c>
      <c r="D177" s="178"/>
      <c r="E177" s="220" t="s">
        <v>700</v>
      </c>
      <c r="F177" s="239"/>
      <c r="G177" s="182"/>
      <c r="H177" s="235">
        <v>2021</v>
      </c>
      <c r="I177" s="235">
        <v>2025</v>
      </c>
      <c r="J177" s="215">
        <f>'[1]Summary for IPSIS'!$H$142+'[1]Summary for IPSIS'!$I$142</f>
        <v>20659590</v>
      </c>
      <c r="K177" s="215">
        <f>'[1]Summary for IPSIS'!$J$142</f>
        <v>0</v>
      </c>
      <c r="L177" s="82">
        <f t="shared" si="122"/>
        <v>20659590</v>
      </c>
      <c r="M177" s="215">
        <f>'[1]Summary for IPSIS'!$T$142+'[1]Summary for IPSIS'!$U$142</f>
        <v>20659590</v>
      </c>
      <c r="N177" s="215">
        <f>'[1]Summary for IPSIS'!$V$142</f>
        <v>0</v>
      </c>
      <c r="O177" s="82">
        <f t="shared" si="123"/>
        <v>20659590</v>
      </c>
      <c r="P177" s="234">
        <f>'[1]Summary for IPSIS'!$AF$142+'[1]Summary for IPSIS'!$AG$142</f>
        <v>20659590</v>
      </c>
      <c r="Q177" s="82">
        <f>'[1]Summary for IPSIS'!$AH$142</f>
        <v>0</v>
      </c>
      <c r="R177" s="82">
        <f t="shared" si="124"/>
        <v>20659590</v>
      </c>
      <c r="S177" s="234">
        <f>'[1]Summary for IPSIS'!$AR$142+'[1]Summary for IPSIS'!$AS$142</f>
        <v>20659590</v>
      </c>
      <c r="T177" s="82">
        <f>'[1]Summary for IPSIS'!$AT$142</f>
        <v>0</v>
      </c>
      <c r="U177" s="82">
        <f t="shared" si="125"/>
        <v>20659590</v>
      </c>
      <c r="V177" s="234">
        <f>'[1]Summary for IPSIS'!$BD$142+'[1]Summary for IPSIS'!$BE$142</f>
        <v>20659590</v>
      </c>
      <c r="W177" s="82">
        <f>'[1]Summary for IPSIS'!$BF$142</f>
        <v>0</v>
      </c>
      <c r="X177" s="82">
        <f t="shared" si="126"/>
        <v>20659590</v>
      </c>
      <c r="Y177" s="82">
        <f t="shared" si="127"/>
        <v>103297950</v>
      </c>
      <c r="Z177" s="82">
        <f t="shared" si="128"/>
        <v>0</v>
      </c>
      <c r="AA177" s="82">
        <f t="shared" si="129"/>
        <v>103297950</v>
      </c>
      <c r="AB177" s="234">
        <f>20659590+20659590+20659590</f>
        <v>61978770</v>
      </c>
      <c r="AC177" s="82">
        <f>0</f>
        <v>0</v>
      </c>
      <c r="AD177" s="82">
        <f t="shared" si="130"/>
        <v>61978770</v>
      </c>
      <c r="AE177" s="234">
        <f>0</f>
        <v>0</v>
      </c>
      <c r="AF177" s="82">
        <f>0</f>
        <v>0</v>
      </c>
      <c r="AG177" s="82"/>
      <c r="AH177" s="82">
        <f t="shared" si="131"/>
        <v>0</v>
      </c>
      <c r="AI177" s="234">
        <f>20659590+20659590</f>
        <v>41319180</v>
      </c>
      <c r="AJ177" s="82">
        <f>0</f>
        <v>0</v>
      </c>
      <c r="AK177" s="82">
        <f t="shared" si="132"/>
        <v>41319180</v>
      </c>
      <c r="AL177" s="217">
        <f t="shared" si="121"/>
        <v>0</v>
      </c>
    </row>
    <row r="178" spans="2:46" s="6" customFormat="1" ht="22.8" customHeight="1" thickBot="1">
      <c r="B178" s="58"/>
      <c r="C178" s="65" t="s">
        <v>77</v>
      </c>
      <c r="D178" s="66"/>
      <c r="E178" s="66"/>
      <c r="F178" s="56"/>
      <c r="G178" s="56"/>
      <c r="H178" s="56"/>
      <c r="I178" s="56"/>
      <c r="J178" s="57">
        <f>SUM(J167:J177)</f>
        <v>25536598</v>
      </c>
      <c r="K178" s="57">
        <f t="shared" ref="K178:P178" si="133">SUM(K167:K177)</f>
        <v>0</v>
      </c>
      <c r="L178" s="57">
        <f t="shared" si="133"/>
        <v>25536598</v>
      </c>
      <c r="M178" s="57">
        <f t="shared" si="133"/>
        <v>29419798</v>
      </c>
      <c r="N178" s="57">
        <f t="shared" si="133"/>
        <v>0</v>
      </c>
      <c r="O178" s="57">
        <f t="shared" si="133"/>
        <v>29419798</v>
      </c>
      <c r="P178" s="57">
        <f t="shared" si="133"/>
        <v>38346502</v>
      </c>
      <c r="Q178" s="57">
        <f t="shared" ref="Q178" si="134">SUM(Q167:Q177)</f>
        <v>0</v>
      </c>
      <c r="R178" s="57">
        <f t="shared" ref="R178" si="135">SUM(R167:R177)</f>
        <v>38346502</v>
      </c>
      <c r="S178" s="57">
        <f t="shared" ref="S178" si="136">SUM(S167:S177)</f>
        <v>33420886</v>
      </c>
      <c r="T178" s="57">
        <f t="shared" ref="T178" si="137">SUM(T167:T177)</f>
        <v>0</v>
      </c>
      <c r="U178" s="57">
        <f t="shared" ref="U178:V178" si="138">SUM(U167:U177)</f>
        <v>33420886</v>
      </c>
      <c r="V178" s="57">
        <f t="shared" si="138"/>
        <v>33420886</v>
      </c>
      <c r="W178" s="57">
        <f t="shared" ref="W178" si="139">SUM(W167:W177)</f>
        <v>0</v>
      </c>
      <c r="X178" s="57">
        <f t="shared" ref="X178" si="140">SUM(X167:X177)</f>
        <v>33420886</v>
      </c>
      <c r="Y178" s="57">
        <f t="shared" ref="Y178" si="141">SUM(Y167:Y177)</f>
        <v>160144670</v>
      </c>
      <c r="Z178" s="57">
        <f t="shared" ref="Z178" si="142">SUM(Z167:Z177)</f>
        <v>0</v>
      </c>
      <c r="AA178" s="57">
        <f t="shared" ref="AA178:AB178" si="143">SUM(AA167:AA177)</f>
        <v>160144670</v>
      </c>
      <c r="AB178" s="57">
        <f t="shared" si="143"/>
        <v>85309698</v>
      </c>
      <c r="AC178" s="57">
        <f t="shared" ref="AC178" si="144">SUM(AC167:AC177)</f>
        <v>0</v>
      </c>
      <c r="AD178" s="57">
        <f t="shared" ref="AD178" si="145">SUM(AD167:AD177)</f>
        <v>85309698</v>
      </c>
      <c r="AE178" s="57">
        <f t="shared" ref="AE178" si="146">SUM(AE167:AE177)</f>
        <v>0</v>
      </c>
      <c r="AF178" s="57">
        <f t="shared" ref="AF178" si="147">SUM(AF167:AF177)</f>
        <v>0</v>
      </c>
      <c r="AG178" s="57"/>
      <c r="AH178" s="57">
        <f t="shared" ref="AH178" si="148">SUM(AH167:AH177)</f>
        <v>0</v>
      </c>
      <c r="AI178" s="57">
        <f t="shared" ref="AI178" si="149">SUM(AI167:AI177)</f>
        <v>66841772</v>
      </c>
      <c r="AJ178" s="57">
        <f t="shared" ref="AJ178" si="150">SUM(AJ167:AJ177)</f>
        <v>0</v>
      </c>
      <c r="AK178" s="57">
        <f t="shared" ref="AK178" si="151">SUM(AK167:AK177)</f>
        <v>66841772</v>
      </c>
      <c r="AL178" s="218">
        <f t="shared" ref="AL178" si="152">SUM(AL167:AL177)</f>
        <v>-7993200</v>
      </c>
      <c r="AM178" s="36"/>
      <c r="AN178" s="36"/>
      <c r="AO178" s="36"/>
      <c r="AP178" s="36"/>
      <c r="AQ178" s="36"/>
      <c r="AR178" s="36"/>
      <c r="AS178" s="36"/>
      <c r="AT178" s="36"/>
    </row>
    <row r="179" spans="2:46" ht="40.200000000000003" customHeight="1">
      <c r="B179" s="161">
        <v>4.2</v>
      </c>
      <c r="C179" s="283" t="s">
        <v>304</v>
      </c>
      <c r="D179" s="284"/>
      <c r="E179" s="208"/>
      <c r="F179" s="75"/>
      <c r="G179" s="75"/>
      <c r="H179" s="81"/>
      <c r="I179" s="81"/>
      <c r="J179" s="80"/>
      <c r="K179" s="80"/>
      <c r="L179" s="78"/>
      <c r="M179" s="80"/>
      <c r="N179" s="80"/>
      <c r="O179" s="78"/>
      <c r="P179" s="80"/>
      <c r="Q179" s="78"/>
      <c r="R179" s="78"/>
      <c r="S179" s="80"/>
      <c r="T179" s="78"/>
      <c r="U179" s="78"/>
      <c r="V179" s="80"/>
      <c r="W179" s="78"/>
      <c r="X179" s="78"/>
      <c r="Y179" s="78"/>
      <c r="Z179" s="78"/>
      <c r="AA179" s="78"/>
      <c r="AB179" s="80"/>
      <c r="AC179" s="78"/>
      <c r="AD179" s="78"/>
      <c r="AE179" s="80"/>
      <c r="AF179" s="78"/>
      <c r="AG179" s="78"/>
      <c r="AH179" s="78"/>
      <c r="AI179" s="80"/>
      <c r="AJ179" s="78"/>
      <c r="AK179" s="78"/>
      <c r="AL179" s="79"/>
    </row>
    <row r="180" spans="2:46" ht="25.2" customHeight="1">
      <c r="B180" s="162"/>
      <c r="C180" s="113" t="s">
        <v>141</v>
      </c>
      <c r="D180" s="60"/>
      <c r="E180" s="60"/>
      <c r="F180" s="18"/>
      <c r="G180" s="18"/>
      <c r="H180" s="15"/>
      <c r="I180" s="15"/>
      <c r="J180" s="34"/>
      <c r="K180" s="34"/>
      <c r="L180" s="39"/>
      <c r="M180" s="34"/>
      <c r="N180" s="34"/>
      <c r="O180" s="39"/>
      <c r="P180" s="34"/>
      <c r="Q180" s="39"/>
      <c r="R180" s="39"/>
      <c r="S180" s="34"/>
      <c r="T180" s="39"/>
      <c r="U180" s="39"/>
      <c r="V180" s="34"/>
      <c r="W180" s="39"/>
      <c r="X180" s="39"/>
      <c r="Y180" s="39"/>
      <c r="Z180" s="39"/>
      <c r="AA180" s="39"/>
      <c r="AB180" s="34"/>
      <c r="AC180" s="39"/>
      <c r="AD180" s="39"/>
      <c r="AE180" s="34"/>
      <c r="AF180" s="39"/>
      <c r="AG180" s="39"/>
      <c r="AH180" s="39"/>
      <c r="AI180" s="34"/>
      <c r="AJ180" s="39"/>
      <c r="AK180" s="39"/>
      <c r="AL180" s="40"/>
    </row>
    <row r="181" spans="2:46" ht="28.2" customHeight="1">
      <c r="B181" s="48" t="s">
        <v>40</v>
      </c>
      <c r="C181" s="186" t="s">
        <v>303</v>
      </c>
      <c r="D181" s="46"/>
      <c r="E181" s="187" t="s">
        <v>699</v>
      </c>
      <c r="F181" s="180" t="s">
        <v>195</v>
      </c>
      <c r="G181" s="181"/>
      <c r="H181" s="181">
        <v>2021</v>
      </c>
      <c r="I181" s="181">
        <v>2025</v>
      </c>
      <c r="J181" s="31">
        <f>'[1]Summary for IPSIS'!$H$144+'[1]Summary for IPSIS'!$I$144</f>
        <v>197960</v>
      </c>
      <c r="K181" s="31">
        <f>'[1]Summary for IPSIS'!$J$144</f>
        <v>0</v>
      </c>
      <c r="L181" s="39">
        <f>SUM(J181:K181)</f>
        <v>197960</v>
      </c>
      <c r="M181" s="31">
        <f>'[1]Summary for IPSIS'!$T$144+'[1]Summary for IPSIS'!$U$144</f>
        <v>767960</v>
      </c>
      <c r="N181" s="31">
        <f>'[1]Summary for IPSIS'!$V$144</f>
        <v>0</v>
      </c>
      <c r="O181" s="39">
        <f>SUM(M181:N181)</f>
        <v>767960</v>
      </c>
      <c r="P181" s="34">
        <f>'[1]Summary for IPSIS'!$AF$144+'[1]Summary for IPSIS'!$AG$144</f>
        <v>197960</v>
      </c>
      <c r="Q181" s="39">
        <f>'[1]Summary for IPSIS'!$AH$144</f>
        <v>0</v>
      </c>
      <c r="R181" s="39">
        <f>SUM(P181:Q181)</f>
        <v>197960</v>
      </c>
      <c r="S181" s="34">
        <f>'[1]Summary for IPSIS'!$BD$144+'[1]Summary for IPSIS'!$BE$144</f>
        <v>197960</v>
      </c>
      <c r="T181" s="39">
        <f>'[1]Summary for IPSIS'!$AT$144</f>
        <v>0</v>
      </c>
      <c r="U181" s="39">
        <f>SUM(S181:T181)</f>
        <v>197960</v>
      </c>
      <c r="V181" s="34">
        <f>'[1]Summary for IPSIS'!$BD$144+'[1]Summary for IPSIS'!$BE$144</f>
        <v>197960</v>
      </c>
      <c r="W181" s="39">
        <f>'[1]Summary for IPSIS'!$BF$144</f>
        <v>0</v>
      </c>
      <c r="X181" s="39">
        <f>SUM(V181:W181)</f>
        <v>197960</v>
      </c>
      <c r="Y181" s="39">
        <f>J181+M181+P181+S181+V181</f>
        <v>1559800</v>
      </c>
      <c r="Z181" s="39">
        <f>K181+N181+Q181+T181+W181</f>
        <v>0</v>
      </c>
      <c r="AA181" s="39">
        <f>SUM(Y181:Z181)</f>
        <v>1559800</v>
      </c>
      <c r="AB181" s="34">
        <f>197960+197960+197960</f>
        <v>593880</v>
      </c>
      <c r="AC181" s="39">
        <f>0</f>
        <v>0</v>
      </c>
      <c r="AD181" s="39">
        <f>SUM(AB181:AC181)</f>
        <v>593880</v>
      </c>
      <c r="AE181" s="34">
        <f>0</f>
        <v>0</v>
      </c>
      <c r="AF181" s="39">
        <f>0</f>
        <v>0</v>
      </c>
      <c r="AG181" s="39"/>
      <c r="AH181" s="39">
        <f>SUM(AE181:AG181)</f>
        <v>0</v>
      </c>
      <c r="AI181" s="34">
        <f>197960+197960</f>
        <v>395920</v>
      </c>
      <c r="AJ181" s="39">
        <f>0</f>
        <v>0</v>
      </c>
      <c r="AK181" s="39">
        <f>SUM(AI181:AJ181)</f>
        <v>395920</v>
      </c>
      <c r="AL181" s="210">
        <f>SUM(AK181+AH181+AD181)-AA181</f>
        <v>-570000</v>
      </c>
      <c r="AM181" s="156"/>
    </row>
    <row r="182" spans="2:46" ht="24" customHeight="1">
      <c r="B182" s="48" t="s">
        <v>37</v>
      </c>
      <c r="C182" s="202" t="s">
        <v>703</v>
      </c>
      <c r="D182" s="46"/>
      <c r="E182" s="187" t="s">
        <v>700</v>
      </c>
      <c r="F182" s="180" t="s">
        <v>195</v>
      </c>
      <c r="G182" s="181"/>
      <c r="H182" s="181">
        <v>2021</v>
      </c>
      <c r="I182" s="181">
        <v>2022</v>
      </c>
      <c r="J182" s="31">
        <f>'[1]Summary for IPSIS'!$H$145+'[1]Summary for IPSIS'!$I$145</f>
        <v>570000</v>
      </c>
      <c r="K182" s="31">
        <f>'[1]Summary for IPSIS'!$J$145</f>
        <v>0</v>
      </c>
      <c r="L182" s="39">
        <f t="shared" ref="L182:L186" si="153">SUM(J182:K182)</f>
        <v>570000</v>
      </c>
      <c r="M182" s="31">
        <f>'[1]Summary for IPSIS'!$T$145+'[1]Summary for IPSIS'!$U$145</f>
        <v>570000</v>
      </c>
      <c r="N182" s="31">
        <f>'[1]Summary for IPSIS'!$V$145</f>
        <v>0</v>
      </c>
      <c r="O182" s="39">
        <f t="shared" ref="O182:O186" si="154">SUM(M182:N182)</f>
        <v>570000</v>
      </c>
      <c r="P182" s="34">
        <f>'[1]Summary for IPSIS'!$AF$145+'[1]Summary for IPSIS'!$AG$145</f>
        <v>570000</v>
      </c>
      <c r="Q182" s="39">
        <f>'[1]Summary for IPSIS'!$AH$145</f>
        <v>0</v>
      </c>
      <c r="R182" s="39">
        <f t="shared" ref="R182:R186" si="155">SUM(P182:Q182)</f>
        <v>570000</v>
      </c>
      <c r="S182" s="34">
        <f>'[1]Summary for IPSIS'!$AR$145+'[1]Summary for IPSIS'!$AS$145</f>
        <v>0</v>
      </c>
      <c r="T182" s="39">
        <f>'[1]Summary for IPSIS'!$AT$145</f>
        <v>0</v>
      </c>
      <c r="U182" s="39">
        <f t="shared" ref="U182:U186" si="156">SUM(S182:T182)</f>
        <v>0</v>
      </c>
      <c r="V182" s="34">
        <f>'[1]Summary for IPSIS'!$BD$145+'[1]Summary for IPSIS'!$BE$145</f>
        <v>0</v>
      </c>
      <c r="W182" s="39">
        <f>'[1]Summary for IPSIS'!$BF$145</f>
        <v>0</v>
      </c>
      <c r="X182" s="39">
        <f t="shared" ref="X182:X186" si="157">SUM(V182:W182)</f>
        <v>0</v>
      </c>
      <c r="Y182" s="39">
        <f t="shared" ref="Y182:Y186" si="158">J182+M182+P182+S182+V182</f>
        <v>1710000</v>
      </c>
      <c r="Z182" s="39">
        <f t="shared" ref="Z182:Z186" si="159">K182+N182+Q182+T182+W182</f>
        <v>0</v>
      </c>
      <c r="AA182" s="39">
        <f t="shared" ref="AA182:AA186" si="160">SUM(Y182:Z182)</f>
        <v>1710000</v>
      </c>
      <c r="AB182" s="34">
        <f>0</f>
        <v>0</v>
      </c>
      <c r="AC182" s="39">
        <f>0</f>
        <v>0</v>
      </c>
      <c r="AD182" s="39">
        <f t="shared" ref="AD182:AD186" si="161">SUM(AB182:AC182)</f>
        <v>0</v>
      </c>
      <c r="AE182" s="34">
        <f>0</f>
        <v>0</v>
      </c>
      <c r="AF182" s="39">
        <f>0</f>
        <v>0</v>
      </c>
      <c r="AG182" s="39"/>
      <c r="AH182" s="39">
        <f t="shared" ref="AH182:AH186" si="162">SUM(AE182:AG182)</f>
        <v>0</v>
      </c>
      <c r="AI182" s="34">
        <f>'[1]Summary for IPSIS'!$AV$145+'[1]Summary for IPSIS'!$BH$145</f>
        <v>0</v>
      </c>
      <c r="AJ182" s="39">
        <f>0</f>
        <v>0</v>
      </c>
      <c r="AK182" s="39">
        <f t="shared" ref="AK182:AK186" si="163">SUM(AI182:AJ182)</f>
        <v>0</v>
      </c>
      <c r="AL182" s="210">
        <f t="shared" ref="AL182:AL186" si="164">SUM(AK182+AH182+AD182)-AA182</f>
        <v>-1710000</v>
      </c>
    </row>
    <row r="183" spans="2:46" ht="24">
      <c r="B183" s="48" t="s">
        <v>39</v>
      </c>
      <c r="C183" s="195" t="s">
        <v>302</v>
      </c>
      <c r="D183" s="46"/>
      <c r="E183" s="201" t="s">
        <v>702</v>
      </c>
      <c r="F183" s="180" t="s">
        <v>195</v>
      </c>
      <c r="G183" s="181"/>
      <c r="H183" s="198">
        <v>2022</v>
      </c>
      <c r="I183" s="198">
        <v>2025</v>
      </c>
      <c r="J183" s="31">
        <f>'[1]Summary for IPSIS'!$H$146+'[1]Summary for IPSIS'!$I$146</f>
        <v>1026000</v>
      </c>
      <c r="K183" s="31">
        <f>'[1]Summary for IPSIS'!$J$146</f>
        <v>0</v>
      </c>
      <c r="L183" s="39">
        <f t="shared" si="153"/>
        <v>1026000</v>
      </c>
      <c r="M183" s="31">
        <f>'[1]Summary for IPSIS'!$T$146+'[1]Summary for IPSIS'!$U$146</f>
        <v>6932724</v>
      </c>
      <c r="N183" s="31">
        <f>'[1]Summary for IPSIS'!$V$146</f>
        <v>0</v>
      </c>
      <c r="O183" s="39">
        <f t="shared" si="154"/>
        <v>6932724</v>
      </c>
      <c r="P183" s="34">
        <f>'[1]Summary for IPSIS'!$AF$146+'[1]Summary for IPSIS'!$AG$146</f>
        <v>9243624</v>
      </c>
      <c r="Q183" s="39">
        <f>'[1]Summary for IPSIS'!$AH$146</f>
        <v>0</v>
      </c>
      <c r="R183" s="39">
        <f t="shared" si="155"/>
        <v>9243624</v>
      </c>
      <c r="S183" s="34">
        <f>'[1]Summary for IPSIS'!$AR$146+'[1]Summary for IPSIS'!$AS$146</f>
        <v>11554560</v>
      </c>
      <c r="T183" s="39">
        <f>'[1]Summary for IPSIS'!$AT$146</f>
        <v>0</v>
      </c>
      <c r="U183" s="39">
        <f t="shared" si="156"/>
        <v>11554560</v>
      </c>
      <c r="V183" s="34">
        <f>'[1]Summary for IPSIS'!$BD$146+'[1]Summary for IPSIS'!$BE$146</f>
        <v>13865496</v>
      </c>
      <c r="W183" s="39">
        <f>'[1]Summary for IPSIS'!$BF$146</f>
        <v>0</v>
      </c>
      <c r="X183" s="39">
        <f t="shared" si="157"/>
        <v>13865496</v>
      </c>
      <c r="Y183" s="39">
        <f t="shared" si="158"/>
        <v>42622404</v>
      </c>
      <c r="Z183" s="39">
        <f t="shared" si="159"/>
        <v>0</v>
      </c>
      <c r="AA183" s="39">
        <f t="shared" si="160"/>
        <v>42622404</v>
      </c>
      <c r="AB183" s="34">
        <f>0</f>
        <v>0</v>
      </c>
      <c r="AC183" s="39">
        <f>0</f>
        <v>0</v>
      </c>
      <c r="AD183" s="39">
        <f t="shared" si="161"/>
        <v>0</v>
      </c>
      <c r="AE183" s="34">
        <v>1026000</v>
      </c>
      <c r="AF183" s="39">
        <f>0</f>
        <v>0</v>
      </c>
      <c r="AG183" s="39"/>
      <c r="AH183" s="39">
        <f t="shared" si="162"/>
        <v>1026000</v>
      </c>
      <c r="AI183" s="34">
        <f>11554560+13865496</f>
        <v>25420056</v>
      </c>
      <c r="AJ183" s="39">
        <f>0</f>
        <v>0</v>
      </c>
      <c r="AK183" s="39">
        <f t="shared" si="163"/>
        <v>25420056</v>
      </c>
      <c r="AL183" s="210">
        <f t="shared" si="164"/>
        <v>-16176348</v>
      </c>
    </row>
    <row r="184" spans="2:46" ht="24">
      <c r="B184" s="48" t="s">
        <v>296</v>
      </c>
      <c r="C184" s="186" t="s">
        <v>301</v>
      </c>
      <c r="D184" s="46"/>
      <c r="E184" s="187" t="s">
        <v>699</v>
      </c>
      <c r="F184" s="180" t="s">
        <v>195</v>
      </c>
      <c r="G184" s="181"/>
      <c r="H184" s="198">
        <v>2021</v>
      </c>
      <c r="I184" s="198">
        <v>2025</v>
      </c>
      <c r="J184" s="31">
        <f>'[1]Summary for IPSIS'!$H$147+'[1]Summary for IPSIS'!$I$147</f>
        <v>1320000</v>
      </c>
      <c r="K184" s="31">
        <f>'[1]Summary for IPSIS'!$J$147</f>
        <v>0</v>
      </c>
      <c r="L184" s="39">
        <f t="shared" si="153"/>
        <v>1320000</v>
      </c>
      <c r="M184" s="31">
        <f>'[1]Summary for IPSIS'!$T$147+'[1]Summary for IPSIS'!$U$147</f>
        <v>1320000</v>
      </c>
      <c r="N184" s="31">
        <f>'[1]Summary for IPSIS'!$V$147</f>
        <v>0</v>
      </c>
      <c r="O184" s="39">
        <f t="shared" si="154"/>
        <v>1320000</v>
      </c>
      <c r="P184" s="34">
        <f>'[1]Summary for IPSIS'!$AF$147+'[1]Summary for IPSIS'!$AG$147</f>
        <v>1320000</v>
      </c>
      <c r="Q184" s="39">
        <f>'[1]Summary for IPSIS'!$AH$147</f>
        <v>0</v>
      </c>
      <c r="R184" s="39">
        <f t="shared" si="155"/>
        <v>1320000</v>
      </c>
      <c r="S184" s="34">
        <f>'[1]Summary for IPSIS'!$AR$147+'[1]Summary for IPSIS'!$AS$147</f>
        <v>1320000</v>
      </c>
      <c r="T184" s="39">
        <f>'[1]Summary for IPSIS'!$AT$147</f>
        <v>0</v>
      </c>
      <c r="U184" s="39">
        <f t="shared" si="156"/>
        <v>1320000</v>
      </c>
      <c r="V184" s="34">
        <f>'[1]Summary for IPSIS'!$BD$147+'[1]Summary for IPSIS'!$BE$147</f>
        <v>1320000</v>
      </c>
      <c r="W184" s="39">
        <f>'[1]Summary for IPSIS'!$BF$147</f>
        <v>0</v>
      </c>
      <c r="X184" s="39">
        <f t="shared" si="157"/>
        <v>1320000</v>
      </c>
      <c r="Y184" s="39">
        <f t="shared" si="158"/>
        <v>6600000</v>
      </c>
      <c r="Z184" s="39">
        <f t="shared" si="159"/>
        <v>0</v>
      </c>
      <c r="AA184" s="39">
        <f t="shared" si="160"/>
        <v>6600000</v>
      </c>
      <c r="AB184" s="34">
        <f>0</f>
        <v>0</v>
      </c>
      <c r="AC184" s="39">
        <f>0</f>
        <v>0</v>
      </c>
      <c r="AD184" s="39">
        <f t="shared" si="161"/>
        <v>0</v>
      </c>
      <c r="AE184" s="34">
        <f>0</f>
        <v>0</v>
      </c>
      <c r="AF184" s="39">
        <f>0</f>
        <v>0</v>
      </c>
      <c r="AG184" s="39"/>
      <c r="AH184" s="39">
        <f t="shared" si="162"/>
        <v>0</v>
      </c>
      <c r="AI184" s="34">
        <f>0</f>
        <v>0</v>
      </c>
      <c r="AJ184" s="39">
        <f>0</f>
        <v>0</v>
      </c>
      <c r="AK184" s="39">
        <f t="shared" si="163"/>
        <v>0</v>
      </c>
      <c r="AL184" s="210">
        <f t="shared" si="164"/>
        <v>-6600000</v>
      </c>
    </row>
    <row r="185" spans="2:46" ht="31.2" customHeight="1">
      <c r="B185" s="48" t="s">
        <v>297</v>
      </c>
      <c r="C185" s="186" t="s">
        <v>300</v>
      </c>
      <c r="D185" s="46"/>
      <c r="E185" s="187" t="s">
        <v>699</v>
      </c>
      <c r="F185" s="180" t="s">
        <v>195</v>
      </c>
      <c r="G185" s="181"/>
      <c r="H185" s="198">
        <v>2021</v>
      </c>
      <c r="I185" s="198">
        <v>2025</v>
      </c>
      <c r="J185" s="31">
        <f>'[1]Summary for IPSIS'!$H$148+'[1]Summary for IPSIS'!$I$148</f>
        <v>300000</v>
      </c>
      <c r="K185" s="31">
        <f>'[1]Summary for IPSIS'!$J$148</f>
        <v>0</v>
      </c>
      <c r="L185" s="39">
        <f t="shared" si="153"/>
        <v>300000</v>
      </c>
      <c r="M185" s="31">
        <f>'[1]Summary for IPSIS'!$T$148+'[1]Summary for IPSIS'!$U$148</f>
        <v>300000</v>
      </c>
      <c r="N185" s="31">
        <f>'[1]Summary for IPSIS'!$V$148</f>
        <v>0</v>
      </c>
      <c r="O185" s="39">
        <f t="shared" si="154"/>
        <v>300000</v>
      </c>
      <c r="P185" s="34">
        <f>'[1]Summary for IPSIS'!$AF$148+'[1]Summary for IPSIS'!$AG$148</f>
        <v>300000</v>
      </c>
      <c r="Q185" s="39">
        <f>'[1]Summary for IPSIS'!$AH$148</f>
        <v>0</v>
      </c>
      <c r="R185" s="39">
        <f t="shared" si="155"/>
        <v>300000</v>
      </c>
      <c r="S185" s="34">
        <f>'[1]Summary for IPSIS'!$AR$148+'[1]Summary for IPSIS'!$AS$148</f>
        <v>300000</v>
      </c>
      <c r="T185" s="39">
        <f>'[1]Summary for IPSIS'!$AT$148</f>
        <v>0</v>
      </c>
      <c r="U185" s="39">
        <f t="shared" si="156"/>
        <v>300000</v>
      </c>
      <c r="V185" s="34">
        <f>'[1]Summary for IPSIS'!$BD$148+'[1]Summary for IPSIS'!$BE$148</f>
        <v>300000</v>
      </c>
      <c r="W185" s="39">
        <f>'[1]Summary for IPSIS'!$BF$148</f>
        <v>0</v>
      </c>
      <c r="X185" s="39">
        <f t="shared" si="157"/>
        <v>300000</v>
      </c>
      <c r="Y185" s="39">
        <f t="shared" si="158"/>
        <v>1500000</v>
      </c>
      <c r="Z185" s="39">
        <f t="shared" si="159"/>
        <v>0</v>
      </c>
      <c r="AA185" s="39">
        <f t="shared" si="160"/>
        <v>1500000</v>
      </c>
      <c r="AB185" s="34">
        <f>0</f>
        <v>0</v>
      </c>
      <c r="AC185" s="39">
        <f>0</f>
        <v>0</v>
      </c>
      <c r="AD185" s="39">
        <f t="shared" si="161"/>
        <v>0</v>
      </c>
      <c r="AE185" s="34">
        <f>0</f>
        <v>0</v>
      </c>
      <c r="AF185" s="39">
        <f>0</f>
        <v>0</v>
      </c>
      <c r="AG185" s="39"/>
      <c r="AH185" s="39">
        <f t="shared" si="162"/>
        <v>0</v>
      </c>
      <c r="AI185" s="34">
        <f>0</f>
        <v>0</v>
      </c>
      <c r="AJ185" s="39">
        <f>0</f>
        <v>0</v>
      </c>
      <c r="AK185" s="39">
        <f t="shared" si="163"/>
        <v>0</v>
      </c>
      <c r="AL185" s="210">
        <f t="shared" si="164"/>
        <v>-1500000</v>
      </c>
    </row>
    <row r="186" spans="2:46" ht="36.6" thickBot="1">
      <c r="B186" s="233" t="s">
        <v>298</v>
      </c>
      <c r="C186" s="211" t="s">
        <v>299</v>
      </c>
      <c r="D186" s="178"/>
      <c r="E186" s="213" t="s">
        <v>699</v>
      </c>
      <c r="F186" s="239" t="s">
        <v>195</v>
      </c>
      <c r="G186" s="182"/>
      <c r="H186" s="241">
        <v>2023</v>
      </c>
      <c r="I186" s="241">
        <v>2025</v>
      </c>
      <c r="J186" s="215">
        <f>'[1]Summary for IPSIS'!$H$149+'[1]Summary for IPSIS'!$I$149</f>
        <v>0</v>
      </c>
      <c r="K186" s="215">
        <f>'[1]Summary for IPSIS'!$J$149</f>
        <v>0</v>
      </c>
      <c r="L186" s="82">
        <f t="shared" si="153"/>
        <v>0</v>
      </c>
      <c r="M186" s="215">
        <f>'[1]Summary for IPSIS'!$T$149+'[1]Summary for IPSIS'!$U$149</f>
        <v>0</v>
      </c>
      <c r="N186" s="215">
        <f>'[1]Summary for IPSIS'!$V$149</f>
        <v>0</v>
      </c>
      <c r="O186" s="82">
        <f t="shared" si="154"/>
        <v>0</v>
      </c>
      <c r="P186" s="234">
        <f>'[1]Summary for IPSIS'!$AF$149+'[1]Summary for IPSIS'!$AG$149</f>
        <v>1423200</v>
      </c>
      <c r="Q186" s="82">
        <f>'[1]Summary for IPSIS'!$AH$149</f>
        <v>0</v>
      </c>
      <c r="R186" s="82">
        <f t="shared" si="155"/>
        <v>1423200</v>
      </c>
      <c r="S186" s="234">
        <f>'[1]Summary for IPSIS'!$AR$149+'[1]Summary for IPSIS'!$AS$149</f>
        <v>1423200</v>
      </c>
      <c r="T186" s="82">
        <f>'[1]Summary for IPSIS'!$AT$149</f>
        <v>0</v>
      </c>
      <c r="U186" s="82">
        <f t="shared" si="156"/>
        <v>1423200</v>
      </c>
      <c r="V186" s="234">
        <f>'[1]Summary for IPSIS'!$BD$149+'[1]Summary for IPSIS'!$BE$149</f>
        <v>1423200</v>
      </c>
      <c r="W186" s="82">
        <f>'[1]Summary for IPSIS'!$BF$149</f>
        <v>0</v>
      </c>
      <c r="X186" s="82">
        <f t="shared" si="157"/>
        <v>1423200</v>
      </c>
      <c r="Y186" s="82">
        <f t="shared" si="158"/>
        <v>4269600</v>
      </c>
      <c r="Z186" s="82">
        <f t="shared" si="159"/>
        <v>0</v>
      </c>
      <c r="AA186" s="82">
        <f t="shared" si="160"/>
        <v>4269600</v>
      </c>
      <c r="AB186" s="234">
        <f>0</f>
        <v>0</v>
      </c>
      <c r="AC186" s="82">
        <f>0</f>
        <v>0</v>
      </c>
      <c r="AD186" s="82">
        <f t="shared" si="161"/>
        <v>0</v>
      </c>
      <c r="AE186" s="234">
        <f>0</f>
        <v>0</v>
      </c>
      <c r="AF186" s="82">
        <f>0</f>
        <v>0</v>
      </c>
      <c r="AG186" s="82"/>
      <c r="AH186" s="82">
        <f t="shared" si="162"/>
        <v>0</v>
      </c>
      <c r="AI186" s="234">
        <f>0</f>
        <v>0</v>
      </c>
      <c r="AJ186" s="82">
        <f>0</f>
        <v>0</v>
      </c>
      <c r="AK186" s="82">
        <f t="shared" si="163"/>
        <v>0</v>
      </c>
      <c r="AL186" s="217">
        <f t="shared" si="164"/>
        <v>-4269600</v>
      </c>
    </row>
    <row r="187" spans="2:46" s="6" customFormat="1" ht="22.8" customHeight="1" thickBot="1">
      <c r="B187" s="58"/>
      <c r="C187" s="65" t="s">
        <v>78</v>
      </c>
      <c r="D187" s="66"/>
      <c r="E187" s="66"/>
      <c r="F187" s="56"/>
      <c r="G187" s="56"/>
      <c r="H187" s="56"/>
      <c r="I187" s="56"/>
      <c r="J187" s="57">
        <f>SUM(J181:J186)</f>
        <v>3413960</v>
      </c>
      <c r="K187" s="57">
        <f t="shared" ref="K187:AL187" si="165">SUM(K181:K186)</f>
        <v>0</v>
      </c>
      <c r="L187" s="57">
        <f t="shared" si="165"/>
        <v>3413960</v>
      </c>
      <c r="M187" s="57">
        <f t="shared" si="165"/>
        <v>9890684</v>
      </c>
      <c r="N187" s="57">
        <f t="shared" si="165"/>
        <v>0</v>
      </c>
      <c r="O187" s="57">
        <f t="shared" si="165"/>
        <v>9890684</v>
      </c>
      <c r="P187" s="57">
        <f t="shared" si="165"/>
        <v>13054784</v>
      </c>
      <c r="Q187" s="57">
        <f t="shared" si="165"/>
        <v>0</v>
      </c>
      <c r="R187" s="57">
        <f t="shared" si="165"/>
        <v>13054784</v>
      </c>
      <c r="S187" s="57">
        <f t="shared" si="165"/>
        <v>14795720</v>
      </c>
      <c r="T187" s="57">
        <f t="shared" si="165"/>
        <v>0</v>
      </c>
      <c r="U187" s="57">
        <f t="shared" si="165"/>
        <v>14795720</v>
      </c>
      <c r="V187" s="57">
        <f t="shared" si="165"/>
        <v>17106656</v>
      </c>
      <c r="W187" s="57">
        <f t="shared" si="165"/>
        <v>0</v>
      </c>
      <c r="X187" s="57">
        <f t="shared" si="165"/>
        <v>17106656</v>
      </c>
      <c r="Y187" s="57">
        <f t="shared" si="165"/>
        <v>58261804</v>
      </c>
      <c r="Z187" s="57">
        <f t="shared" si="165"/>
        <v>0</v>
      </c>
      <c r="AA187" s="57">
        <f t="shared" si="165"/>
        <v>58261804</v>
      </c>
      <c r="AB187" s="57">
        <f t="shared" si="165"/>
        <v>593880</v>
      </c>
      <c r="AC187" s="57">
        <f t="shared" si="165"/>
        <v>0</v>
      </c>
      <c r="AD187" s="57">
        <f t="shared" si="165"/>
        <v>593880</v>
      </c>
      <c r="AE187" s="57">
        <f t="shared" si="165"/>
        <v>1026000</v>
      </c>
      <c r="AF187" s="57">
        <f t="shared" si="165"/>
        <v>0</v>
      </c>
      <c r="AG187" s="57"/>
      <c r="AH187" s="57">
        <f t="shared" si="165"/>
        <v>1026000</v>
      </c>
      <c r="AI187" s="57">
        <f t="shared" si="165"/>
        <v>25815976</v>
      </c>
      <c r="AJ187" s="57">
        <f t="shared" si="165"/>
        <v>0</v>
      </c>
      <c r="AK187" s="57">
        <f t="shared" si="165"/>
        <v>25815976</v>
      </c>
      <c r="AL187" s="218">
        <f t="shared" si="165"/>
        <v>-30825948</v>
      </c>
      <c r="AM187" s="36"/>
      <c r="AN187" s="36"/>
      <c r="AO187" s="36"/>
      <c r="AP187" s="36"/>
      <c r="AQ187" s="36"/>
      <c r="AR187" s="36"/>
      <c r="AS187" s="36"/>
      <c r="AT187" s="36"/>
    </row>
    <row r="188" spans="2:46" s="6" customFormat="1" ht="27.75" customHeight="1" thickBot="1">
      <c r="B188" s="58"/>
      <c r="C188" s="285" t="s">
        <v>751</v>
      </c>
      <c r="D188" s="286"/>
      <c r="E188" s="185"/>
      <c r="F188" s="56"/>
      <c r="G188" s="56"/>
      <c r="H188" s="56"/>
      <c r="I188" s="56"/>
      <c r="J188" s="57">
        <f>J178+J187</f>
        <v>28950558</v>
      </c>
      <c r="K188" s="57">
        <f t="shared" ref="K188:O188" si="166">K178+K187</f>
        <v>0</v>
      </c>
      <c r="L188" s="57">
        <f t="shared" si="166"/>
        <v>28950558</v>
      </c>
      <c r="M188" s="57">
        <f t="shared" si="166"/>
        <v>39310482</v>
      </c>
      <c r="N188" s="57">
        <f t="shared" si="166"/>
        <v>0</v>
      </c>
      <c r="O188" s="57">
        <f t="shared" si="166"/>
        <v>39310482</v>
      </c>
      <c r="P188" s="57">
        <f t="shared" ref="P188" si="167">P178+P187</f>
        <v>51401286</v>
      </c>
      <c r="Q188" s="57">
        <f t="shared" ref="Q188" si="168">Q178+Q187</f>
        <v>0</v>
      </c>
      <c r="R188" s="57">
        <f t="shared" ref="R188" si="169">R178+R187</f>
        <v>51401286</v>
      </c>
      <c r="S188" s="57">
        <f t="shared" ref="S188" si="170">S178+S187</f>
        <v>48216606</v>
      </c>
      <c r="T188" s="57">
        <f t="shared" ref="T188" si="171">T178+T187</f>
        <v>0</v>
      </c>
      <c r="U188" s="57">
        <f t="shared" ref="U188" si="172">U178+U187</f>
        <v>48216606</v>
      </c>
      <c r="V188" s="57">
        <f t="shared" ref="V188" si="173">V178+V187</f>
        <v>50527542</v>
      </c>
      <c r="W188" s="57">
        <f t="shared" ref="W188" si="174">W178+W187</f>
        <v>0</v>
      </c>
      <c r="X188" s="57">
        <f t="shared" ref="X188" si="175">X178+X187</f>
        <v>50527542</v>
      </c>
      <c r="Y188" s="57">
        <f t="shared" ref="Y188" si="176">Y178+Y187</f>
        <v>218406474</v>
      </c>
      <c r="Z188" s="57">
        <f t="shared" ref="Z188" si="177">Z178+Z187</f>
        <v>0</v>
      </c>
      <c r="AA188" s="57">
        <f t="shared" ref="AA188" si="178">AA178+AA187</f>
        <v>218406474</v>
      </c>
      <c r="AB188" s="57">
        <f t="shared" ref="AB188" si="179">AB178+AB187</f>
        <v>85903578</v>
      </c>
      <c r="AC188" s="57">
        <f t="shared" ref="AC188" si="180">AC178+AC187</f>
        <v>0</v>
      </c>
      <c r="AD188" s="57">
        <f t="shared" ref="AD188" si="181">AD178+AD187</f>
        <v>85903578</v>
      </c>
      <c r="AE188" s="57">
        <f t="shared" ref="AE188" si="182">AE178+AE187</f>
        <v>1026000</v>
      </c>
      <c r="AF188" s="57">
        <f t="shared" ref="AF188" si="183">AF178+AF187</f>
        <v>0</v>
      </c>
      <c r="AG188" s="57"/>
      <c r="AH188" s="57">
        <f t="shared" ref="AH188" si="184">AH178+AH187</f>
        <v>1026000</v>
      </c>
      <c r="AI188" s="57">
        <f t="shared" ref="AI188" si="185">AI178+AI187</f>
        <v>92657748</v>
      </c>
      <c r="AJ188" s="57">
        <f t="shared" ref="AJ188" si="186">AJ178+AJ187</f>
        <v>0</v>
      </c>
      <c r="AK188" s="57">
        <f t="shared" ref="AK188" si="187">AK178+AK187</f>
        <v>92657748</v>
      </c>
      <c r="AL188" s="218">
        <f t="shared" ref="AL188" si="188">AL178+AL187</f>
        <v>-38819148</v>
      </c>
      <c r="AM188" s="36"/>
      <c r="AN188" s="36"/>
      <c r="AO188" s="36"/>
      <c r="AP188" s="36"/>
      <c r="AQ188" s="36"/>
      <c r="AR188" s="36"/>
      <c r="AS188" s="36"/>
      <c r="AT188" s="36"/>
    </row>
    <row r="189" spans="2:46" s="6" customFormat="1" ht="27.75" customHeight="1" thickBot="1">
      <c r="B189" s="290" t="s">
        <v>758</v>
      </c>
      <c r="C189" s="291"/>
      <c r="D189" s="291"/>
      <c r="E189" s="291"/>
      <c r="F189" s="291"/>
      <c r="G189" s="291"/>
      <c r="H189" s="291"/>
      <c r="I189" s="291"/>
      <c r="J189" s="291"/>
      <c r="K189" s="291"/>
      <c r="L189" s="291"/>
      <c r="M189" s="291"/>
      <c r="N189" s="291"/>
      <c r="O189" s="291"/>
      <c r="P189" s="291"/>
      <c r="Q189" s="291"/>
      <c r="R189" s="291"/>
      <c r="S189" s="291"/>
      <c r="T189" s="291"/>
      <c r="U189" s="291"/>
      <c r="V189" s="291"/>
      <c r="W189" s="291"/>
      <c r="X189" s="291"/>
      <c r="Y189" s="291"/>
      <c r="Z189" s="291"/>
      <c r="AA189" s="291"/>
      <c r="AB189" s="291"/>
      <c r="AC189" s="291"/>
      <c r="AD189" s="291"/>
      <c r="AE189" s="291"/>
      <c r="AF189" s="291"/>
      <c r="AG189" s="291"/>
      <c r="AH189" s="291"/>
      <c r="AI189" s="291"/>
      <c r="AJ189" s="291"/>
      <c r="AK189" s="291"/>
      <c r="AL189" s="292"/>
      <c r="AM189" s="36"/>
      <c r="AN189" s="36"/>
      <c r="AO189" s="36"/>
      <c r="AP189" s="36"/>
      <c r="AQ189" s="36"/>
      <c r="AR189" s="36"/>
      <c r="AS189" s="36"/>
      <c r="AT189" s="36"/>
    </row>
    <row r="190" spans="2:46" ht="28.8" customHeight="1" thickBot="1">
      <c r="B190" s="290" t="s">
        <v>772</v>
      </c>
      <c r="C190" s="296"/>
      <c r="D190" s="296"/>
      <c r="E190" s="296"/>
      <c r="F190" s="296"/>
      <c r="G190" s="296"/>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7"/>
    </row>
    <row r="191" spans="2:46" ht="27" customHeight="1">
      <c r="B191" s="304" t="s">
        <v>0</v>
      </c>
      <c r="C191" s="310" t="s">
        <v>111</v>
      </c>
      <c r="D191" s="310" t="s">
        <v>1</v>
      </c>
      <c r="E191" s="164" t="s">
        <v>112</v>
      </c>
      <c r="F191" s="310" t="s">
        <v>747</v>
      </c>
      <c r="G191" s="310"/>
      <c r="H191" s="298" t="s">
        <v>116</v>
      </c>
      <c r="I191" s="298"/>
      <c r="J191" s="311" t="s">
        <v>119</v>
      </c>
      <c r="K191" s="311"/>
      <c r="L191" s="311"/>
      <c r="M191" s="311" t="s">
        <v>120</v>
      </c>
      <c r="N191" s="311"/>
      <c r="O191" s="311"/>
      <c r="P191" s="311" t="s">
        <v>121</v>
      </c>
      <c r="Q191" s="314"/>
      <c r="R191" s="314"/>
      <c r="S191" s="312" t="s">
        <v>122</v>
      </c>
      <c r="T191" s="312"/>
      <c r="U191" s="312"/>
      <c r="V191" s="312" t="s">
        <v>123</v>
      </c>
      <c r="W191" s="312"/>
      <c r="X191" s="312"/>
      <c r="Y191" s="312" t="s">
        <v>124</v>
      </c>
      <c r="Z191" s="314"/>
      <c r="AA191" s="314"/>
      <c r="AB191" s="311" t="s">
        <v>125</v>
      </c>
      <c r="AC191" s="311"/>
      <c r="AD191" s="311"/>
      <c r="AE191" s="311"/>
      <c r="AF191" s="311"/>
      <c r="AG191" s="311"/>
      <c r="AH191" s="311"/>
      <c r="AI191" s="311" t="s">
        <v>131</v>
      </c>
      <c r="AJ191" s="317"/>
      <c r="AK191" s="317"/>
      <c r="AL191" s="323" t="s">
        <v>132</v>
      </c>
    </row>
    <row r="192" spans="2:46" ht="33" customHeight="1">
      <c r="B192" s="305"/>
      <c r="C192" s="308"/>
      <c r="D192" s="308"/>
      <c r="E192" s="308" t="s">
        <v>113</v>
      </c>
      <c r="F192" s="318" t="s">
        <v>114</v>
      </c>
      <c r="G192" s="318" t="s">
        <v>115</v>
      </c>
      <c r="H192" s="320" t="s">
        <v>117</v>
      </c>
      <c r="I192" s="320" t="s">
        <v>117</v>
      </c>
      <c r="J192" s="299"/>
      <c r="K192" s="299"/>
      <c r="L192" s="299"/>
      <c r="M192" s="299"/>
      <c r="N192" s="299"/>
      <c r="O192" s="299"/>
      <c r="P192" s="315"/>
      <c r="Q192" s="315"/>
      <c r="R192" s="315"/>
      <c r="S192" s="313"/>
      <c r="T192" s="313"/>
      <c r="U192" s="313"/>
      <c r="V192" s="313"/>
      <c r="W192" s="313"/>
      <c r="X192" s="313"/>
      <c r="Y192" s="315"/>
      <c r="Z192" s="315"/>
      <c r="AA192" s="315"/>
      <c r="AB192" s="299" t="s">
        <v>127</v>
      </c>
      <c r="AC192" s="300"/>
      <c r="AD192" s="300"/>
      <c r="AE192" s="299" t="s">
        <v>128</v>
      </c>
      <c r="AF192" s="301"/>
      <c r="AG192" s="301"/>
      <c r="AH192" s="301"/>
      <c r="AI192" s="316" t="s">
        <v>134</v>
      </c>
      <c r="AJ192" s="316"/>
      <c r="AK192" s="316"/>
      <c r="AL192" s="324"/>
    </row>
    <row r="193" spans="2:46" ht="43.2" customHeight="1" thickBot="1">
      <c r="B193" s="306"/>
      <c r="C193" s="322"/>
      <c r="D193" s="322"/>
      <c r="E193" s="322"/>
      <c r="F193" s="319"/>
      <c r="G193" s="319"/>
      <c r="H193" s="321"/>
      <c r="I193" s="321"/>
      <c r="J193" s="205" t="s">
        <v>87</v>
      </c>
      <c r="K193" s="206" t="s">
        <v>88</v>
      </c>
      <c r="L193" s="206" t="s">
        <v>133</v>
      </c>
      <c r="M193" s="205" t="s">
        <v>87</v>
      </c>
      <c r="N193" s="206" t="s">
        <v>88</v>
      </c>
      <c r="O193" s="206" t="s">
        <v>133</v>
      </c>
      <c r="P193" s="205" t="s">
        <v>87</v>
      </c>
      <c r="Q193" s="206" t="s">
        <v>88</v>
      </c>
      <c r="R193" s="206" t="s">
        <v>133</v>
      </c>
      <c r="S193" s="205" t="s">
        <v>87</v>
      </c>
      <c r="T193" s="206" t="s">
        <v>88</v>
      </c>
      <c r="U193" s="206" t="s">
        <v>133</v>
      </c>
      <c r="V193" s="205" t="s">
        <v>87</v>
      </c>
      <c r="W193" s="206" t="s">
        <v>88</v>
      </c>
      <c r="X193" s="206" t="s">
        <v>133</v>
      </c>
      <c r="Y193" s="206" t="s">
        <v>87</v>
      </c>
      <c r="Z193" s="206" t="s">
        <v>88</v>
      </c>
      <c r="AA193" s="206" t="s">
        <v>133</v>
      </c>
      <c r="AB193" s="205" t="s">
        <v>87</v>
      </c>
      <c r="AC193" s="206" t="s">
        <v>88</v>
      </c>
      <c r="AD193" s="206" t="s">
        <v>126</v>
      </c>
      <c r="AE193" s="205" t="s">
        <v>87</v>
      </c>
      <c r="AF193" s="206" t="s">
        <v>88</v>
      </c>
      <c r="AG193" s="206" t="s">
        <v>129</v>
      </c>
      <c r="AH193" s="206" t="s">
        <v>130</v>
      </c>
      <c r="AI193" s="205" t="s">
        <v>87</v>
      </c>
      <c r="AJ193" s="206" t="s">
        <v>88</v>
      </c>
      <c r="AK193" s="206" t="s">
        <v>133</v>
      </c>
      <c r="AL193" s="207"/>
    </row>
    <row r="194" spans="2:46" ht="58.2" customHeight="1">
      <c r="B194" s="161">
        <v>5.0999999999999996</v>
      </c>
      <c r="C194" s="283" t="s">
        <v>265</v>
      </c>
      <c r="D194" s="284"/>
      <c r="E194" s="208"/>
      <c r="F194" s="75"/>
      <c r="G194" s="88"/>
      <c r="H194" s="72"/>
      <c r="I194" s="72"/>
      <c r="J194" s="70"/>
      <c r="K194" s="70"/>
      <c r="L194" s="78"/>
      <c r="M194" s="70"/>
      <c r="N194" s="70"/>
      <c r="O194" s="78"/>
      <c r="P194" s="80"/>
      <c r="Q194" s="78"/>
      <c r="R194" s="78"/>
      <c r="S194" s="80"/>
      <c r="T194" s="78"/>
      <c r="U194" s="78"/>
      <c r="V194" s="80"/>
      <c r="W194" s="78"/>
      <c r="X194" s="78"/>
      <c r="Y194" s="78"/>
      <c r="Z194" s="78"/>
      <c r="AA194" s="78"/>
      <c r="AB194" s="80"/>
      <c r="AC194" s="78"/>
      <c r="AD194" s="78"/>
      <c r="AE194" s="80"/>
      <c r="AF194" s="78"/>
      <c r="AG194" s="78"/>
      <c r="AH194" s="78"/>
      <c r="AI194" s="80"/>
      <c r="AJ194" s="78"/>
      <c r="AK194" s="78"/>
      <c r="AL194" s="79"/>
    </row>
    <row r="195" spans="2:46" ht="22.8" customHeight="1">
      <c r="B195" s="162"/>
      <c r="C195" s="113" t="s">
        <v>141</v>
      </c>
      <c r="D195" s="60"/>
      <c r="E195" s="60"/>
      <c r="F195" s="18"/>
      <c r="G195" s="19"/>
      <c r="H195" s="11"/>
      <c r="I195" s="11"/>
      <c r="J195" s="33"/>
      <c r="K195" s="33"/>
      <c r="L195" s="37"/>
      <c r="M195" s="33"/>
      <c r="N195" s="33"/>
      <c r="O195" s="37"/>
      <c r="P195" s="41"/>
      <c r="Q195" s="37"/>
      <c r="R195" s="37"/>
      <c r="S195" s="41"/>
      <c r="T195" s="37"/>
      <c r="U195" s="37"/>
      <c r="V195" s="41"/>
      <c r="W195" s="37"/>
      <c r="X195" s="37"/>
      <c r="Y195" s="37"/>
      <c r="Z195" s="37"/>
      <c r="AA195" s="37"/>
      <c r="AB195" s="41"/>
      <c r="AC195" s="37"/>
      <c r="AD195" s="37"/>
      <c r="AE195" s="41"/>
      <c r="AF195" s="37"/>
      <c r="AG195" s="37"/>
      <c r="AH195" s="37"/>
      <c r="AI195" s="41"/>
      <c r="AJ195" s="37"/>
      <c r="AK195" s="37"/>
      <c r="AL195" s="42"/>
    </row>
    <row r="196" spans="2:46" ht="45.6" customHeight="1">
      <c r="B196" s="48" t="s">
        <v>41</v>
      </c>
      <c r="C196" s="186" t="s">
        <v>266</v>
      </c>
      <c r="D196" s="46"/>
      <c r="E196" s="187" t="s">
        <v>429</v>
      </c>
      <c r="F196" s="16" t="s">
        <v>168</v>
      </c>
      <c r="G196" s="19"/>
      <c r="H196" s="200">
        <v>2021</v>
      </c>
      <c r="I196" s="200">
        <v>2022</v>
      </c>
      <c r="J196" s="41">
        <f>'[1]Summary for IPSIS'!$H$152+'[1]Summary for IPSIS'!$I$152</f>
        <v>633600</v>
      </c>
      <c r="K196" s="33">
        <f>'[1]Summary for IPSIS'!$J$153</f>
        <v>0</v>
      </c>
      <c r="L196" s="37">
        <f>SUM(J196:K196)</f>
        <v>633600</v>
      </c>
      <c r="M196" s="41">
        <f>'[1]Summary for IPSIS'!$T$152+'[1]Summary for IPSIS'!$U$152</f>
        <v>950400</v>
      </c>
      <c r="N196" s="33">
        <f>'[1]Summary for IPSIS'!$V$152</f>
        <v>0</v>
      </c>
      <c r="O196" s="37">
        <f>SUM(M196:N196)</f>
        <v>950400</v>
      </c>
      <c r="P196" s="41">
        <f>'[1]Summary for IPSIS'!$AF$152+'[1]Summary for IPSIS'!$AG$152</f>
        <v>0</v>
      </c>
      <c r="Q196" s="37">
        <f>'[1]Summary for IPSIS'!$AH$152</f>
        <v>0</v>
      </c>
      <c r="R196" s="37">
        <f>SUM(P196:Q196)</f>
        <v>0</v>
      </c>
      <c r="S196" s="41">
        <f>'[1]Summary for IPSIS'!$AR$152+'[1]Summary for IPSIS'!$AS$152</f>
        <v>0</v>
      </c>
      <c r="T196" s="37">
        <f>'[1]Summary for IPSIS'!$AT$152</f>
        <v>0</v>
      </c>
      <c r="U196" s="37">
        <f>SUM(S196:T196)</f>
        <v>0</v>
      </c>
      <c r="V196" s="41">
        <f>'[1]Summary for IPSIS'!$BD$152+'[1]Summary for IPSIS'!$BE$152</f>
        <v>0</v>
      </c>
      <c r="W196" s="37">
        <f>'[1]Summary for IPSIS'!$BF$152</f>
        <v>0</v>
      </c>
      <c r="X196" s="37">
        <f>SUM(V196:W196)</f>
        <v>0</v>
      </c>
      <c r="Y196" s="37">
        <f>J196+M196+P196+S196+V196</f>
        <v>1584000</v>
      </c>
      <c r="Z196" s="37">
        <f>K196+N196+Q196+T196+W196</f>
        <v>0</v>
      </c>
      <c r="AA196" s="37">
        <f>SUM(Y196:Z196)</f>
        <v>1584000</v>
      </c>
      <c r="AB196" s="41">
        <f>0</f>
        <v>0</v>
      </c>
      <c r="AC196" s="37">
        <f>0</f>
        <v>0</v>
      </c>
      <c r="AD196" s="37">
        <f>SUM(AB196:AC196)</f>
        <v>0</v>
      </c>
      <c r="AE196" s="41">
        <f>0</f>
        <v>0</v>
      </c>
      <c r="AF196" s="37">
        <f>0</f>
        <v>0</v>
      </c>
      <c r="AG196" s="37"/>
      <c r="AH196" s="37">
        <f>SUM(AE196:AF196)</f>
        <v>0</v>
      </c>
      <c r="AI196" s="41">
        <f>0</f>
        <v>0</v>
      </c>
      <c r="AJ196" s="37">
        <f>0</f>
        <v>0</v>
      </c>
      <c r="AK196" s="37">
        <f>SUM(AI196:AJ196)</f>
        <v>0</v>
      </c>
      <c r="AL196" s="210">
        <f t="shared" ref="AL196:AL200" si="189">SUM(AK196+AH196+AD196)-AA196</f>
        <v>-1584000</v>
      </c>
    </row>
    <row r="197" spans="2:46" ht="43.2" customHeight="1">
      <c r="B197" s="48" t="s">
        <v>42</v>
      </c>
      <c r="C197" s="186" t="s">
        <v>705</v>
      </c>
      <c r="D197" s="46"/>
      <c r="E197" s="187" t="s">
        <v>429</v>
      </c>
      <c r="F197" s="16" t="s">
        <v>168</v>
      </c>
      <c r="G197" s="19"/>
      <c r="H197" s="200">
        <v>2023</v>
      </c>
      <c r="I197" s="200">
        <v>2025</v>
      </c>
      <c r="J197" s="41">
        <f>'[1]Summary for IPSIS'!$H$153+'[1]Summary for IPSIS'!$I$153</f>
        <v>0</v>
      </c>
      <c r="K197" s="33">
        <f>'[1]Summary for IPSIS'!$J$154</f>
        <v>0</v>
      </c>
      <c r="L197" s="37">
        <f t="shared" ref="L197:L200" si="190">SUM(J197:K197)</f>
        <v>0</v>
      </c>
      <c r="M197" s="41">
        <f>'[1]Summary for IPSIS'!$T$153+'[1]Summary for IPSIS'!$U$153</f>
        <v>0</v>
      </c>
      <c r="N197" s="33">
        <f>'[1]Summary for IPSIS'!$V$153</f>
        <v>0</v>
      </c>
      <c r="O197" s="37">
        <f t="shared" ref="O197:O200" si="191">SUM(M197:N197)</f>
        <v>0</v>
      </c>
      <c r="P197" s="41">
        <f>'[1]Summary for IPSIS'!$AF$153+'[1]Summary for IPSIS'!$AG$153</f>
        <v>228000</v>
      </c>
      <c r="Q197" s="37">
        <f>'[1]Summary for IPSIS'!$AH$153</f>
        <v>0</v>
      </c>
      <c r="R197" s="37">
        <f t="shared" ref="R197:R200" si="192">SUM(P197:Q197)</f>
        <v>228000</v>
      </c>
      <c r="S197" s="41">
        <f>'[1]Summary for IPSIS'!$AR$153+'[1]Summary for IPSIS'!$AS$153</f>
        <v>228000</v>
      </c>
      <c r="T197" s="37">
        <f>'[1]Summary for IPSIS'!$AT$153</f>
        <v>0</v>
      </c>
      <c r="U197" s="37">
        <f t="shared" ref="U197:U200" si="193">SUM(S197:T197)</f>
        <v>228000</v>
      </c>
      <c r="V197" s="41">
        <f>'[1]Summary for IPSIS'!$BD$153+'[1]Summary for IPSIS'!$BE$153</f>
        <v>228000</v>
      </c>
      <c r="W197" s="37">
        <f>'[1]Summary for IPSIS'!$BF$153</f>
        <v>0</v>
      </c>
      <c r="X197" s="37">
        <f t="shared" ref="X197:X200" si="194">SUM(V197:W197)</f>
        <v>228000</v>
      </c>
      <c r="Y197" s="37">
        <f t="shared" ref="Y197:Y200" si="195">J197+M197+P197+S197+V197</f>
        <v>684000</v>
      </c>
      <c r="Z197" s="37">
        <f t="shared" ref="Z197:Z200" si="196">K197+N197+Q197+T197+W197</f>
        <v>0</v>
      </c>
      <c r="AA197" s="37">
        <f t="shared" ref="AA197:AA200" si="197">SUM(Y197:Z197)</f>
        <v>684000</v>
      </c>
      <c r="AB197" s="41">
        <f>228000</f>
        <v>228000</v>
      </c>
      <c r="AC197" s="37">
        <f>0</f>
        <v>0</v>
      </c>
      <c r="AD197" s="37">
        <f t="shared" ref="AD197:AD200" si="198">SUM(AB197:AC197)</f>
        <v>228000</v>
      </c>
      <c r="AE197" s="41">
        <f>0</f>
        <v>0</v>
      </c>
      <c r="AF197" s="37">
        <f>0</f>
        <v>0</v>
      </c>
      <c r="AG197" s="37"/>
      <c r="AH197" s="37">
        <f t="shared" ref="AH197:AH200" si="199">SUM(AE197:AF197)</f>
        <v>0</v>
      </c>
      <c r="AI197" s="41">
        <f>228000+228000</f>
        <v>456000</v>
      </c>
      <c r="AJ197" s="37">
        <f>0</f>
        <v>0</v>
      </c>
      <c r="AK197" s="37">
        <f t="shared" ref="AK197:AK200" si="200">SUM(AI197:AJ197)</f>
        <v>456000</v>
      </c>
      <c r="AL197" s="210">
        <f t="shared" si="189"/>
        <v>0</v>
      </c>
    </row>
    <row r="198" spans="2:46" ht="57.6" customHeight="1">
      <c r="B198" s="48" t="s">
        <v>43</v>
      </c>
      <c r="C198" s="186" t="s">
        <v>392</v>
      </c>
      <c r="D198" s="46"/>
      <c r="E198" s="187" t="s">
        <v>429</v>
      </c>
      <c r="F198" s="16" t="s">
        <v>168</v>
      </c>
      <c r="G198" s="19"/>
      <c r="H198" s="200">
        <v>2021</v>
      </c>
      <c r="I198" s="200">
        <v>2022</v>
      </c>
      <c r="J198" s="41">
        <f>'[1]Summary for IPSIS'!$H$154+'[1]Summary for IPSIS'!$I$154</f>
        <v>1398000</v>
      </c>
      <c r="K198" s="33">
        <f>'[1]Summary for IPSIS'!$J$155</f>
        <v>0</v>
      </c>
      <c r="L198" s="37">
        <f t="shared" si="190"/>
        <v>1398000</v>
      </c>
      <c r="M198" s="41">
        <f>'[1]Summary for IPSIS'!$T$154+'[1]Summary for IPSIS'!$U$154</f>
        <v>1398000</v>
      </c>
      <c r="N198" s="33">
        <f>'[1]Summary for IPSIS'!$V$154</f>
        <v>0</v>
      </c>
      <c r="O198" s="37">
        <f t="shared" si="191"/>
        <v>1398000</v>
      </c>
      <c r="P198" s="41">
        <f>'[1]Summary for IPSIS'!$AF$154+'[1]Summary for IPSIS'!$AG$154</f>
        <v>0</v>
      </c>
      <c r="Q198" s="37">
        <f>'[1]Summary for IPSIS'!$AH$154</f>
        <v>0</v>
      </c>
      <c r="R198" s="37">
        <f t="shared" si="192"/>
        <v>0</v>
      </c>
      <c r="S198" s="41">
        <f>'[1]Summary for IPSIS'!$AR$154+'[1]Summary for IPSIS'!$AS$154</f>
        <v>0</v>
      </c>
      <c r="T198" s="37">
        <f>'[1]Summary for IPSIS'!$AT$154</f>
        <v>0</v>
      </c>
      <c r="U198" s="37">
        <f t="shared" si="193"/>
        <v>0</v>
      </c>
      <c r="V198" s="41">
        <f>'[1]Summary for IPSIS'!$BD$154+'[1]Summary for IPSIS'!$BE$154</f>
        <v>0</v>
      </c>
      <c r="W198" s="37">
        <f>'[1]Summary for IPSIS'!$BF$154</f>
        <v>0</v>
      </c>
      <c r="X198" s="37">
        <f t="shared" si="194"/>
        <v>0</v>
      </c>
      <c r="Y198" s="37">
        <f t="shared" si="195"/>
        <v>2796000</v>
      </c>
      <c r="Z198" s="37">
        <f t="shared" si="196"/>
        <v>0</v>
      </c>
      <c r="AA198" s="37">
        <f t="shared" si="197"/>
        <v>2796000</v>
      </c>
      <c r="AB198" s="41">
        <f>0</f>
        <v>0</v>
      </c>
      <c r="AC198" s="37">
        <f>0</f>
        <v>0</v>
      </c>
      <c r="AD198" s="37">
        <f t="shared" si="198"/>
        <v>0</v>
      </c>
      <c r="AE198" s="41">
        <f>0</f>
        <v>0</v>
      </c>
      <c r="AF198" s="37">
        <f>0</f>
        <v>0</v>
      </c>
      <c r="AG198" s="37"/>
      <c r="AH198" s="37">
        <f t="shared" si="199"/>
        <v>0</v>
      </c>
      <c r="AI198" s="41">
        <f>0</f>
        <v>0</v>
      </c>
      <c r="AJ198" s="37">
        <f>0</f>
        <v>0</v>
      </c>
      <c r="AK198" s="37">
        <f t="shared" si="200"/>
        <v>0</v>
      </c>
      <c r="AL198" s="210">
        <f t="shared" si="189"/>
        <v>-2796000</v>
      </c>
    </row>
    <row r="199" spans="2:46" ht="36">
      <c r="B199" s="48" t="s">
        <v>44</v>
      </c>
      <c r="C199" s="186" t="s">
        <v>267</v>
      </c>
      <c r="D199" s="46"/>
      <c r="E199" s="187" t="s">
        <v>429</v>
      </c>
      <c r="F199" s="16" t="s">
        <v>168</v>
      </c>
      <c r="G199" s="19" t="s">
        <v>268</v>
      </c>
      <c r="H199" s="199">
        <v>2022</v>
      </c>
      <c r="I199" s="199">
        <v>2025</v>
      </c>
      <c r="J199" s="41">
        <f>'[1]Summary for IPSIS'!$H$155+'[1]Summary for IPSIS'!$I$155</f>
        <v>0</v>
      </c>
      <c r="K199" s="33">
        <f>'[1]Summary for IPSIS'!$J$156</f>
        <v>0</v>
      </c>
      <c r="L199" s="37">
        <f t="shared" si="190"/>
        <v>0</v>
      </c>
      <c r="M199" s="41">
        <f>'[1]Summary for IPSIS'!$T$155+'[1]Summary for IPSIS'!$U$155</f>
        <v>205673.60000000001</v>
      </c>
      <c r="N199" s="33">
        <f>'[1]Summary for IPSIS'!$V$155</f>
        <v>0</v>
      </c>
      <c r="O199" s="37">
        <f t="shared" si="191"/>
        <v>205673.60000000001</v>
      </c>
      <c r="P199" s="41">
        <f>'[1]Summary for IPSIS'!$AF$155+'[1]Summary for IPSIS'!$AG$155</f>
        <v>205673.60000000001</v>
      </c>
      <c r="Q199" s="37">
        <f>'[1]Summary for IPSIS'!$AH$155</f>
        <v>0</v>
      </c>
      <c r="R199" s="37">
        <f t="shared" si="192"/>
        <v>205673.60000000001</v>
      </c>
      <c r="S199" s="41">
        <f>'[1]Summary for IPSIS'!$AR$155+'[1]Summary for IPSIS'!$AS$155</f>
        <v>205673.60000000001</v>
      </c>
      <c r="T199" s="37">
        <f>'[1]Summary for IPSIS'!$AT$155</f>
        <v>0</v>
      </c>
      <c r="U199" s="37">
        <f t="shared" si="193"/>
        <v>205673.60000000001</v>
      </c>
      <c r="V199" s="41">
        <f>'[1]Summary for IPSIS'!$BD$155+'[1]Summary for IPSIS'!$BE$155</f>
        <v>205673.60000000001</v>
      </c>
      <c r="W199" s="37">
        <f>'[1]Summary for IPSIS'!$BF$155</f>
        <v>0</v>
      </c>
      <c r="X199" s="37">
        <f t="shared" si="194"/>
        <v>205673.60000000001</v>
      </c>
      <c r="Y199" s="37">
        <f t="shared" si="195"/>
        <v>822694.40000000002</v>
      </c>
      <c r="Z199" s="37">
        <f t="shared" si="196"/>
        <v>0</v>
      </c>
      <c r="AA199" s="37">
        <f t="shared" si="197"/>
        <v>822694.40000000002</v>
      </c>
      <c r="AB199" s="41">
        <f>205674+205674</f>
        <v>411348</v>
      </c>
      <c r="AC199" s="37">
        <f>0</f>
        <v>0</v>
      </c>
      <c r="AD199" s="37">
        <f t="shared" si="198"/>
        <v>411348</v>
      </c>
      <c r="AE199" s="41">
        <f>0</f>
        <v>0</v>
      </c>
      <c r="AF199" s="37">
        <f>0</f>
        <v>0</v>
      </c>
      <c r="AG199" s="37"/>
      <c r="AH199" s="37">
        <f t="shared" si="199"/>
        <v>0</v>
      </c>
      <c r="AI199" s="41">
        <f>205674+205674</f>
        <v>411348</v>
      </c>
      <c r="AJ199" s="37">
        <f>0</f>
        <v>0</v>
      </c>
      <c r="AK199" s="37">
        <f t="shared" si="200"/>
        <v>411348</v>
      </c>
      <c r="AL199" s="210">
        <f t="shared" si="189"/>
        <v>1.5999999999767169</v>
      </c>
    </row>
    <row r="200" spans="2:46" ht="36.6" thickBot="1">
      <c r="B200" s="233" t="s">
        <v>45</v>
      </c>
      <c r="C200" s="211" t="s">
        <v>269</v>
      </c>
      <c r="D200" s="178"/>
      <c r="E200" s="213" t="s">
        <v>429</v>
      </c>
      <c r="F200" s="21" t="s">
        <v>168</v>
      </c>
      <c r="G200" s="89"/>
      <c r="H200" s="242">
        <v>2021</v>
      </c>
      <c r="I200" s="242">
        <v>2022</v>
      </c>
      <c r="J200" s="74">
        <f>'[1]Summary for IPSIS'!$H$156+'[1]Summary for IPSIS'!$I$156</f>
        <v>570000</v>
      </c>
      <c r="K200" s="216">
        <f>'[1]Summary for IPSIS'!$J$157</f>
        <v>0</v>
      </c>
      <c r="L200" s="90">
        <f t="shared" si="190"/>
        <v>570000</v>
      </c>
      <c r="M200" s="74">
        <f>'[1]Summary for IPSIS'!$T$156+'[1]Summary for IPSIS'!$U$156</f>
        <v>570000</v>
      </c>
      <c r="N200" s="216">
        <f>'[1]Summary for IPSIS'!$V$156</f>
        <v>0</v>
      </c>
      <c r="O200" s="90">
        <f t="shared" si="191"/>
        <v>570000</v>
      </c>
      <c r="P200" s="74">
        <f>'[1]Summary for IPSIS'!$AF$156+'[1]Summary for IPSIS'!$AG$156</f>
        <v>0</v>
      </c>
      <c r="Q200" s="90">
        <f>'[1]Summary for IPSIS'!$AH$156</f>
        <v>0</v>
      </c>
      <c r="R200" s="90">
        <f t="shared" si="192"/>
        <v>0</v>
      </c>
      <c r="S200" s="74">
        <f>'[1]Summary for IPSIS'!$AR$156+'[1]Summary for IPSIS'!$AS$156</f>
        <v>0</v>
      </c>
      <c r="T200" s="90">
        <f>'[1]Summary for IPSIS'!$AT$156</f>
        <v>0</v>
      </c>
      <c r="U200" s="90">
        <f t="shared" si="193"/>
        <v>0</v>
      </c>
      <c r="V200" s="74">
        <f>'[1]Summary for IPSIS'!$BD$156+'[1]Summary for IPSIS'!$BE$156</f>
        <v>0</v>
      </c>
      <c r="W200" s="90">
        <f>'[1]Summary for IPSIS'!$BF$156</f>
        <v>0</v>
      </c>
      <c r="X200" s="90">
        <f t="shared" si="194"/>
        <v>0</v>
      </c>
      <c r="Y200" s="90">
        <f t="shared" si="195"/>
        <v>1140000</v>
      </c>
      <c r="Z200" s="90">
        <f t="shared" si="196"/>
        <v>0</v>
      </c>
      <c r="AA200" s="90">
        <f t="shared" si="197"/>
        <v>1140000</v>
      </c>
      <c r="AB200" s="74">
        <f>0</f>
        <v>0</v>
      </c>
      <c r="AC200" s="90">
        <f>0</f>
        <v>0</v>
      </c>
      <c r="AD200" s="90">
        <f t="shared" si="198"/>
        <v>0</v>
      </c>
      <c r="AE200" s="74">
        <f>0</f>
        <v>0</v>
      </c>
      <c r="AF200" s="90">
        <f>0</f>
        <v>0</v>
      </c>
      <c r="AG200" s="90"/>
      <c r="AH200" s="90">
        <f t="shared" si="199"/>
        <v>0</v>
      </c>
      <c r="AI200" s="74">
        <f>0</f>
        <v>0</v>
      </c>
      <c r="AJ200" s="90">
        <f>0</f>
        <v>0</v>
      </c>
      <c r="AK200" s="90">
        <f t="shared" si="200"/>
        <v>0</v>
      </c>
      <c r="AL200" s="217">
        <f t="shared" si="189"/>
        <v>-1140000</v>
      </c>
    </row>
    <row r="201" spans="2:46" s="6" customFormat="1" ht="24" customHeight="1" thickBot="1">
      <c r="B201" s="58"/>
      <c r="C201" s="65" t="s">
        <v>79</v>
      </c>
      <c r="D201" s="66"/>
      <c r="E201" s="66"/>
      <c r="F201" s="56"/>
      <c r="G201" s="56"/>
      <c r="H201" s="56"/>
      <c r="I201" s="56"/>
      <c r="J201" s="57">
        <f t="shared" ref="J201:L201" si="201">SUM(J196:J200)</f>
        <v>2601600</v>
      </c>
      <c r="K201" s="57">
        <f t="shared" si="201"/>
        <v>0</v>
      </c>
      <c r="L201" s="57">
        <f t="shared" si="201"/>
        <v>2601600</v>
      </c>
      <c r="M201" s="57">
        <f t="shared" ref="M201:AL201" si="202">SUM(M196:M200)</f>
        <v>3124073.6</v>
      </c>
      <c r="N201" s="57">
        <f t="shared" si="202"/>
        <v>0</v>
      </c>
      <c r="O201" s="57">
        <f t="shared" si="202"/>
        <v>3124073.6</v>
      </c>
      <c r="P201" s="57">
        <f t="shared" si="202"/>
        <v>433673.6</v>
      </c>
      <c r="Q201" s="57">
        <f t="shared" si="202"/>
        <v>0</v>
      </c>
      <c r="R201" s="57">
        <f t="shared" si="202"/>
        <v>433673.6</v>
      </c>
      <c r="S201" s="57">
        <f t="shared" si="202"/>
        <v>433673.6</v>
      </c>
      <c r="T201" s="57">
        <f t="shared" si="202"/>
        <v>0</v>
      </c>
      <c r="U201" s="57">
        <f t="shared" si="202"/>
        <v>433673.6</v>
      </c>
      <c r="V201" s="57">
        <f t="shared" si="202"/>
        <v>433673.6</v>
      </c>
      <c r="W201" s="57">
        <f t="shared" si="202"/>
        <v>0</v>
      </c>
      <c r="X201" s="57">
        <f t="shared" si="202"/>
        <v>433673.6</v>
      </c>
      <c r="Y201" s="57">
        <f t="shared" si="202"/>
        <v>7026694.4000000004</v>
      </c>
      <c r="Z201" s="57">
        <f t="shared" si="202"/>
        <v>0</v>
      </c>
      <c r="AA201" s="57">
        <f t="shared" si="202"/>
        <v>7026694.4000000004</v>
      </c>
      <c r="AB201" s="57">
        <f t="shared" si="202"/>
        <v>639348</v>
      </c>
      <c r="AC201" s="57">
        <f t="shared" si="202"/>
        <v>0</v>
      </c>
      <c r="AD201" s="57">
        <f t="shared" si="202"/>
        <v>639348</v>
      </c>
      <c r="AE201" s="57">
        <f t="shared" si="202"/>
        <v>0</v>
      </c>
      <c r="AF201" s="57">
        <f t="shared" si="202"/>
        <v>0</v>
      </c>
      <c r="AG201" s="57"/>
      <c r="AH201" s="57">
        <f t="shared" si="202"/>
        <v>0</v>
      </c>
      <c r="AI201" s="57">
        <f t="shared" si="202"/>
        <v>867348</v>
      </c>
      <c r="AJ201" s="57">
        <f t="shared" si="202"/>
        <v>0</v>
      </c>
      <c r="AK201" s="57">
        <f t="shared" si="202"/>
        <v>867348</v>
      </c>
      <c r="AL201" s="218">
        <f t="shared" si="202"/>
        <v>-5519998.4000000004</v>
      </c>
      <c r="AM201" s="36"/>
      <c r="AN201" s="36"/>
      <c r="AO201" s="36"/>
      <c r="AP201" s="36"/>
      <c r="AQ201" s="36"/>
      <c r="AR201" s="36"/>
      <c r="AS201" s="36"/>
      <c r="AT201" s="36"/>
    </row>
    <row r="202" spans="2:46" ht="49.5" customHeight="1">
      <c r="B202" s="161">
        <v>5.2</v>
      </c>
      <c r="C202" s="283" t="s">
        <v>270</v>
      </c>
      <c r="D202" s="284"/>
      <c r="E202" s="208"/>
      <c r="F202" s="75"/>
      <c r="G202" s="75"/>
      <c r="H202" s="81"/>
      <c r="I202" s="81"/>
      <c r="J202" s="80"/>
      <c r="K202" s="80"/>
      <c r="L202" s="78"/>
      <c r="M202" s="80"/>
      <c r="N202" s="80"/>
      <c r="O202" s="78"/>
      <c r="P202" s="80"/>
      <c r="Q202" s="78"/>
      <c r="R202" s="78"/>
      <c r="S202" s="80"/>
      <c r="T202" s="78"/>
      <c r="U202" s="78"/>
      <c r="V202" s="80"/>
      <c r="W202" s="78"/>
      <c r="X202" s="78"/>
      <c r="Y202" s="78"/>
      <c r="Z202" s="78"/>
      <c r="AA202" s="78"/>
      <c r="AB202" s="80"/>
      <c r="AC202" s="78"/>
      <c r="AD202" s="78"/>
      <c r="AE202" s="80"/>
      <c r="AF202" s="78"/>
      <c r="AG202" s="78"/>
      <c r="AH202" s="78"/>
      <c r="AI202" s="80"/>
      <c r="AJ202" s="78"/>
      <c r="AK202" s="78"/>
      <c r="AL202" s="79"/>
    </row>
    <row r="203" spans="2:46" ht="20.399999999999999" customHeight="1">
      <c r="B203" s="162"/>
      <c r="C203" s="113" t="s">
        <v>141</v>
      </c>
      <c r="D203" s="60"/>
      <c r="E203" s="60"/>
      <c r="F203" s="18"/>
      <c r="G203" s="18"/>
      <c r="H203" s="15"/>
      <c r="I203" s="15"/>
      <c r="J203" s="34"/>
      <c r="K203" s="34"/>
      <c r="L203" s="39"/>
      <c r="M203" s="34"/>
      <c r="N203" s="34"/>
      <c r="O203" s="39"/>
      <c r="P203" s="34"/>
      <c r="Q203" s="39"/>
      <c r="R203" s="39"/>
      <c r="S203" s="34"/>
      <c r="T203" s="39"/>
      <c r="U203" s="39"/>
      <c r="V203" s="34"/>
      <c r="W203" s="39"/>
      <c r="X203" s="39"/>
      <c r="Y203" s="39"/>
      <c r="Z203" s="39"/>
      <c r="AA203" s="39"/>
      <c r="AB203" s="34"/>
      <c r="AC203" s="39"/>
      <c r="AD203" s="39"/>
      <c r="AE203" s="34"/>
      <c r="AF203" s="39"/>
      <c r="AG203" s="39"/>
      <c r="AH203" s="39"/>
      <c r="AI203" s="34"/>
      <c r="AJ203" s="39"/>
      <c r="AK203" s="39"/>
      <c r="AL203" s="40"/>
    </row>
    <row r="204" spans="2:46" ht="24">
      <c r="B204" s="48" t="s">
        <v>46</v>
      </c>
      <c r="C204" s="186" t="s">
        <v>271</v>
      </c>
      <c r="D204" s="46"/>
      <c r="E204" s="187" t="s">
        <v>429</v>
      </c>
      <c r="F204" s="18" t="s">
        <v>168</v>
      </c>
      <c r="G204" s="19" t="s">
        <v>268</v>
      </c>
      <c r="H204" s="116">
        <v>2022</v>
      </c>
      <c r="I204" s="116">
        <v>2023</v>
      </c>
      <c r="J204" s="34">
        <f>'[1]Summary for IPSIS'!$H$158+'[1]Summary for IPSIS'!$I$158</f>
        <v>0</v>
      </c>
      <c r="K204" s="31">
        <f>+'[1]Summary for IPSIS'!$J$158</f>
        <v>0</v>
      </c>
      <c r="L204" s="39">
        <f>SUM(J204:K204)</f>
        <v>0</v>
      </c>
      <c r="M204" s="34">
        <f>'[1]Summary for IPSIS'!$T$158+'[1]Summary for IPSIS'!$U$158</f>
        <v>798000</v>
      </c>
      <c r="N204" s="31">
        <f>'[1]Summary for IPSIS'!$V$158</f>
        <v>0</v>
      </c>
      <c r="O204" s="39">
        <f>SUM(M204:N204)</f>
        <v>798000</v>
      </c>
      <c r="P204" s="34">
        <f>'[1]Summary for IPSIS'!$AF$158+'[1]Summary for IPSIS'!$AG$158</f>
        <v>798000</v>
      </c>
      <c r="Q204" s="39">
        <f>'[1]Summary for IPSIS'!$AH$158</f>
        <v>0</v>
      </c>
      <c r="R204" s="39">
        <f>SUM(P204:Q204)</f>
        <v>798000</v>
      </c>
      <c r="S204" s="34">
        <f>'[1]Summary for IPSIS'!$AR$158+'[1]Summary for IPSIS'!$AS$158</f>
        <v>0</v>
      </c>
      <c r="T204" s="39">
        <f>'[1]Summary for IPSIS'!$AT$158</f>
        <v>0</v>
      </c>
      <c r="U204" s="39">
        <f>SUM(S204:T204)</f>
        <v>0</v>
      </c>
      <c r="V204" s="34">
        <f>'[1]Summary for IPSIS'!$BD$158+'[1]Summary for IPSIS'!$BE$158</f>
        <v>0</v>
      </c>
      <c r="W204" s="39">
        <f>'[1]Summary for IPSIS'!$BF$158</f>
        <v>0</v>
      </c>
      <c r="X204" s="39">
        <f>SUM(V204:W204)</f>
        <v>0</v>
      </c>
      <c r="Y204" s="39">
        <f>J204+M204+P204+S204+V204</f>
        <v>1596000</v>
      </c>
      <c r="Z204" s="39">
        <f>K204+N204+Q204+T204+W204</f>
        <v>0</v>
      </c>
      <c r="AA204" s="39">
        <f>SUM(Y204:Z204)</f>
        <v>1596000</v>
      </c>
      <c r="AB204" s="34">
        <f>0</f>
        <v>0</v>
      </c>
      <c r="AC204" s="39">
        <f>0</f>
        <v>0</v>
      </c>
      <c r="AD204" s="39">
        <f>SUM(AB204:AC204)</f>
        <v>0</v>
      </c>
      <c r="AE204" s="34">
        <f>0</f>
        <v>0</v>
      </c>
      <c r="AF204" s="39">
        <f>0</f>
        <v>0</v>
      </c>
      <c r="AG204" s="39"/>
      <c r="AH204" s="39">
        <f>SUM(AE204:AF204)</f>
        <v>0</v>
      </c>
      <c r="AI204" s="34">
        <f>0</f>
        <v>0</v>
      </c>
      <c r="AJ204" s="39">
        <f>0</f>
        <v>0</v>
      </c>
      <c r="AK204" s="39">
        <f>SUM(AI204:AJ204)</f>
        <v>0</v>
      </c>
      <c r="AL204" s="210">
        <f t="shared" ref="AL204:AL210" si="203">SUM(AK204+AH204+AD204)-AA204</f>
        <v>-1596000</v>
      </c>
    </row>
    <row r="205" spans="2:46" ht="46.8" customHeight="1">
      <c r="B205" s="48" t="s">
        <v>47</v>
      </c>
      <c r="C205" s="186" t="s">
        <v>272</v>
      </c>
      <c r="D205" s="46"/>
      <c r="E205" s="187" t="s">
        <v>429</v>
      </c>
      <c r="F205" s="18" t="s">
        <v>168</v>
      </c>
      <c r="G205" s="19" t="s">
        <v>273</v>
      </c>
      <c r="H205" s="116">
        <v>2022</v>
      </c>
      <c r="I205" s="116">
        <v>2025</v>
      </c>
      <c r="J205" s="34">
        <f>'[1]Summary for IPSIS'!$H$159+'[1]Summary for IPSIS'!$I$159</f>
        <v>0</v>
      </c>
      <c r="K205" s="31">
        <f>+'[1]Summary for IPSIS'!$J$159</f>
        <v>0</v>
      </c>
      <c r="L205" s="39">
        <f t="shared" ref="L205:L210" si="204">SUM(J205:K205)</f>
        <v>0</v>
      </c>
      <c r="M205" s="34">
        <f>'[1]Summary for IPSIS'!$T$159+'[1]Summary for IPSIS'!$U$159</f>
        <v>355136</v>
      </c>
      <c r="N205" s="31">
        <f>'[1]Summary for IPSIS'!$V$159</f>
        <v>0</v>
      </c>
      <c r="O205" s="39">
        <f t="shared" ref="O205:O210" si="205">SUM(M205:N205)</f>
        <v>355136</v>
      </c>
      <c r="P205" s="34">
        <f>'[1]Summary for IPSIS'!$AF$159+'[1]Summary for IPSIS'!$AG$159</f>
        <v>355136</v>
      </c>
      <c r="Q205" s="39">
        <f>'[1]Summary for IPSIS'!$AH$159</f>
        <v>0</v>
      </c>
      <c r="R205" s="39">
        <f t="shared" ref="R205:R210" si="206">SUM(P205:Q205)</f>
        <v>355136</v>
      </c>
      <c r="S205" s="34">
        <f>'[1]Summary for IPSIS'!$AR$159+'[1]Summary for IPSIS'!$AS$159</f>
        <v>355136</v>
      </c>
      <c r="T205" s="39">
        <f>'[1]Summary for IPSIS'!$AT$159</f>
        <v>0</v>
      </c>
      <c r="U205" s="39">
        <f t="shared" ref="U205:U210" si="207">SUM(S205:T205)</f>
        <v>355136</v>
      </c>
      <c r="V205" s="34">
        <f>'[1]Summary for IPSIS'!$BD$159+'[1]Summary for IPSIS'!$BE$159</f>
        <v>355136</v>
      </c>
      <c r="W205" s="39">
        <f>'[1]Summary for IPSIS'!$BF$159</f>
        <v>0</v>
      </c>
      <c r="X205" s="39">
        <f t="shared" ref="X205:X210" si="208">SUM(V205:W205)</f>
        <v>355136</v>
      </c>
      <c r="Y205" s="39">
        <f t="shared" ref="Y205:Y210" si="209">J205+M205+P205+S205+V205</f>
        <v>1420544</v>
      </c>
      <c r="Z205" s="39">
        <f t="shared" ref="Z205:Z210" si="210">K205+N205+Q205+T205+W205</f>
        <v>0</v>
      </c>
      <c r="AA205" s="39">
        <f t="shared" ref="AA205:AA210" si="211">SUM(Y205:Z205)</f>
        <v>1420544</v>
      </c>
      <c r="AB205" s="41">
        <f>355136+355136</f>
        <v>710272</v>
      </c>
      <c r="AC205" s="37">
        <f>0</f>
        <v>0</v>
      </c>
      <c r="AD205" s="39">
        <f t="shared" ref="AD205:AD210" si="212">SUM(AB205:AC205)</f>
        <v>710272</v>
      </c>
      <c r="AE205" s="41">
        <f>0</f>
        <v>0</v>
      </c>
      <c r="AF205" s="37">
        <f>0</f>
        <v>0</v>
      </c>
      <c r="AG205" s="39"/>
      <c r="AH205" s="39">
        <f t="shared" ref="AH205:AH210" si="213">SUM(AE205:AF205)</f>
        <v>0</v>
      </c>
      <c r="AI205" s="34">
        <f>355136+355136</f>
        <v>710272</v>
      </c>
      <c r="AJ205" s="39">
        <f>0</f>
        <v>0</v>
      </c>
      <c r="AK205" s="39">
        <f t="shared" ref="AK205:AK210" si="214">SUM(AI205:AJ205)</f>
        <v>710272</v>
      </c>
      <c r="AL205" s="210">
        <f t="shared" si="203"/>
        <v>0</v>
      </c>
    </row>
    <row r="206" spans="2:46" ht="46.8" customHeight="1">
      <c r="B206" s="48" t="s">
        <v>48</v>
      </c>
      <c r="C206" s="186" t="s">
        <v>282</v>
      </c>
      <c r="D206" s="46"/>
      <c r="E206" s="187" t="s">
        <v>429</v>
      </c>
      <c r="F206" s="18" t="s">
        <v>168</v>
      </c>
      <c r="G206" s="19" t="s">
        <v>268</v>
      </c>
      <c r="H206" s="116">
        <v>2021</v>
      </c>
      <c r="I206" s="116">
        <v>2022</v>
      </c>
      <c r="J206" s="34">
        <f>'[1]Summary for IPSIS'!$H$160+'[1]Summary for IPSIS'!$I$160</f>
        <v>1445280</v>
      </c>
      <c r="K206" s="31">
        <f>+'[1]Summary for IPSIS'!$J$160</f>
        <v>0</v>
      </c>
      <c r="L206" s="39">
        <f t="shared" si="204"/>
        <v>1445280</v>
      </c>
      <c r="M206" s="34">
        <f>'[1]Summary for IPSIS'!$T$160+'[1]Summary for IPSIS'!$U$160</f>
        <v>1445280</v>
      </c>
      <c r="N206" s="31">
        <f>'[1]Summary for IPSIS'!$V$160</f>
        <v>0</v>
      </c>
      <c r="O206" s="39">
        <f t="shared" si="205"/>
        <v>1445280</v>
      </c>
      <c r="P206" s="34">
        <f>'[1]Summary for IPSIS'!$AF$160+'[1]Summary for IPSIS'!$AG$160</f>
        <v>0</v>
      </c>
      <c r="Q206" s="39">
        <f>'[1]Summary for IPSIS'!$AH$160</f>
        <v>0</v>
      </c>
      <c r="R206" s="39">
        <f t="shared" si="206"/>
        <v>0</v>
      </c>
      <c r="S206" s="34">
        <f>'[1]Summary for IPSIS'!$AR$160+'[1]Summary for IPSIS'!$AS$160</f>
        <v>0</v>
      </c>
      <c r="T206" s="39">
        <f>'[1]Summary for IPSIS'!$AT$160</f>
        <v>0</v>
      </c>
      <c r="U206" s="39">
        <f t="shared" si="207"/>
        <v>0</v>
      </c>
      <c r="V206" s="34">
        <f>'[1]Summary for IPSIS'!$BD$160+'[1]Summary for IPSIS'!$BE$160</f>
        <v>0</v>
      </c>
      <c r="W206" s="39">
        <f>'[1]Summary for IPSIS'!$BF$160</f>
        <v>0</v>
      </c>
      <c r="X206" s="39">
        <f t="shared" si="208"/>
        <v>0</v>
      </c>
      <c r="Y206" s="39">
        <f t="shared" si="209"/>
        <v>2890560</v>
      </c>
      <c r="Z206" s="39">
        <f t="shared" si="210"/>
        <v>0</v>
      </c>
      <c r="AA206" s="39">
        <f t="shared" si="211"/>
        <v>2890560</v>
      </c>
      <c r="AB206" s="41">
        <f>1445280+1445280+0</f>
        <v>2890560</v>
      </c>
      <c r="AC206" s="37">
        <f>0</f>
        <v>0</v>
      </c>
      <c r="AD206" s="39">
        <f t="shared" si="212"/>
        <v>2890560</v>
      </c>
      <c r="AE206" s="41">
        <f>0</f>
        <v>0</v>
      </c>
      <c r="AF206" s="37">
        <f>0</f>
        <v>0</v>
      </c>
      <c r="AG206" s="39"/>
      <c r="AH206" s="39">
        <f t="shared" si="213"/>
        <v>0</v>
      </c>
      <c r="AI206" s="34">
        <f>0</f>
        <v>0</v>
      </c>
      <c r="AJ206" s="39">
        <f>0</f>
        <v>0</v>
      </c>
      <c r="AK206" s="39">
        <f t="shared" si="214"/>
        <v>0</v>
      </c>
      <c r="AL206" s="210">
        <f t="shared" si="203"/>
        <v>0</v>
      </c>
    </row>
    <row r="207" spans="2:46" ht="46.8" customHeight="1">
      <c r="B207" s="48" t="s">
        <v>274</v>
      </c>
      <c r="C207" s="186" t="s">
        <v>281</v>
      </c>
      <c r="D207" s="46"/>
      <c r="E207" s="187" t="s">
        <v>429</v>
      </c>
      <c r="F207" s="18" t="s">
        <v>168</v>
      </c>
      <c r="G207" s="19" t="s">
        <v>268</v>
      </c>
      <c r="H207" s="116">
        <v>2021</v>
      </c>
      <c r="I207" s="116">
        <v>2022</v>
      </c>
      <c r="J207" s="34">
        <f>'[1]Summary for IPSIS'!$H$161+'[1]Summary for IPSIS'!$I$161</f>
        <v>5397120</v>
      </c>
      <c r="K207" s="31">
        <f>+'[1]Summary for IPSIS'!$J$161</f>
        <v>0</v>
      </c>
      <c r="L207" s="39">
        <f t="shared" si="204"/>
        <v>5397120</v>
      </c>
      <c r="M207" s="34">
        <f>'[1]Summary for IPSIS'!$T$161+'[1]Summary for IPSIS'!$U$161</f>
        <v>5397120</v>
      </c>
      <c r="N207" s="31">
        <f>'[1]Summary for IPSIS'!$V$161</f>
        <v>0</v>
      </c>
      <c r="O207" s="39">
        <f t="shared" si="205"/>
        <v>5397120</v>
      </c>
      <c r="P207" s="34">
        <f>'[1]Summary for IPSIS'!$AF$161+'[1]Summary for IPSIS'!$AG$161</f>
        <v>0</v>
      </c>
      <c r="Q207" s="39">
        <f>'[1]Summary for IPSIS'!$AH$161</f>
        <v>0</v>
      </c>
      <c r="R207" s="39">
        <f t="shared" si="206"/>
        <v>0</v>
      </c>
      <c r="S207" s="34">
        <f>'[1]Summary for IPSIS'!$AR$161+'[1]Summary for IPSIS'!$AS$161</f>
        <v>0</v>
      </c>
      <c r="T207" s="39">
        <f>'[1]Summary for IPSIS'!$AT$161</f>
        <v>0</v>
      </c>
      <c r="U207" s="39">
        <f t="shared" si="207"/>
        <v>0</v>
      </c>
      <c r="V207" s="34">
        <f>'[1]Summary for IPSIS'!$BD$161+'[1]Summary for IPSIS'!$BE$161</f>
        <v>0</v>
      </c>
      <c r="W207" s="39">
        <f>'[1]Summary for IPSIS'!$BF$161</f>
        <v>0</v>
      </c>
      <c r="X207" s="39">
        <f t="shared" si="208"/>
        <v>0</v>
      </c>
      <c r="Y207" s="39">
        <f t="shared" si="209"/>
        <v>10794240</v>
      </c>
      <c r="Z207" s="39">
        <f t="shared" si="210"/>
        <v>0</v>
      </c>
      <c r="AA207" s="39">
        <f t="shared" si="211"/>
        <v>10794240</v>
      </c>
      <c r="AB207" s="41">
        <f>5397120+5397120</f>
        <v>10794240</v>
      </c>
      <c r="AC207" s="37">
        <f>0</f>
        <v>0</v>
      </c>
      <c r="AD207" s="39">
        <f t="shared" si="212"/>
        <v>10794240</v>
      </c>
      <c r="AE207" s="41">
        <f>0</f>
        <v>0</v>
      </c>
      <c r="AF207" s="37">
        <f>0</f>
        <v>0</v>
      </c>
      <c r="AG207" s="39"/>
      <c r="AH207" s="39">
        <f t="shared" si="213"/>
        <v>0</v>
      </c>
      <c r="AI207" s="34">
        <f>0</f>
        <v>0</v>
      </c>
      <c r="AJ207" s="39">
        <f>0</f>
        <v>0</v>
      </c>
      <c r="AK207" s="39">
        <f t="shared" si="214"/>
        <v>0</v>
      </c>
      <c r="AL207" s="210">
        <f t="shared" si="203"/>
        <v>0</v>
      </c>
    </row>
    <row r="208" spans="2:46" ht="46.8" customHeight="1">
      <c r="B208" s="48" t="s">
        <v>275</v>
      </c>
      <c r="C208" s="186" t="s">
        <v>280</v>
      </c>
      <c r="D208" s="46"/>
      <c r="E208" s="187" t="s">
        <v>429</v>
      </c>
      <c r="F208" s="18" t="s">
        <v>168</v>
      </c>
      <c r="G208" s="19" t="s">
        <v>273</v>
      </c>
      <c r="H208" s="116">
        <v>2021</v>
      </c>
      <c r="I208" s="116">
        <v>2023</v>
      </c>
      <c r="J208" s="34">
        <f>'[1]Summary for IPSIS'!$H$162+'[1]Summary for IPSIS'!$I$162</f>
        <v>876000</v>
      </c>
      <c r="K208" s="31">
        <f>+'[1]Summary for IPSIS'!$J$162</f>
        <v>0</v>
      </c>
      <c r="L208" s="39">
        <f t="shared" si="204"/>
        <v>876000</v>
      </c>
      <c r="M208" s="34">
        <f>'[1]Summary for IPSIS'!$T$162+'[1]Summary for IPSIS'!$U$162</f>
        <v>876000</v>
      </c>
      <c r="N208" s="31">
        <f>'[1]Summary for IPSIS'!$V$162</f>
        <v>0</v>
      </c>
      <c r="O208" s="39">
        <f t="shared" si="205"/>
        <v>876000</v>
      </c>
      <c r="P208" s="34">
        <f>'[1]Summary for IPSIS'!$AF$162+'[1]Summary for IPSIS'!$AG$162</f>
        <v>876000</v>
      </c>
      <c r="Q208" s="39">
        <f>'[1]Summary for IPSIS'!$AH$162</f>
        <v>0</v>
      </c>
      <c r="R208" s="39">
        <f t="shared" si="206"/>
        <v>876000</v>
      </c>
      <c r="S208" s="34">
        <f>'[1]Summary for IPSIS'!$AR$162+'[1]Summary for IPSIS'!$AS$162</f>
        <v>0</v>
      </c>
      <c r="T208" s="39">
        <f>'[1]Summary for IPSIS'!$AT$162</f>
        <v>0</v>
      </c>
      <c r="U208" s="39">
        <f t="shared" si="207"/>
        <v>0</v>
      </c>
      <c r="V208" s="34">
        <f>'[1]Summary for IPSIS'!$BD$162+'[1]Summary for IPSIS'!$BE$162</f>
        <v>0</v>
      </c>
      <c r="W208" s="39">
        <f>'[1]Summary for IPSIS'!$BF$162</f>
        <v>0</v>
      </c>
      <c r="X208" s="39">
        <f t="shared" si="208"/>
        <v>0</v>
      </c>
      <c r="Y208" s="39">
        <f t="shared" si="209"/>
        <v>2628000</v>
      </c>
      <c r="Z208" s="39">
        <f t="shared" si="210"/>
        <v>0</v>
      </c>
      <c r="AA208" s="39">
        <f t="shared" si="211"/>
        <v>2628000</v>
      </c>
      <c r="AB208" s="41">
        <f>0</f>
        <v>0</v>
      </c>
      <c r="AC208" s="37">
        <f>0</f>
        <v>0</v>
      </c>
      <c r="AD208" s="39">
        <f t="shared" si="212"/>
        <v>0</v>
      </c>
      <c r="AE208" s="41">
        <f>0</f>
        <v>0</v>
      </c>
      <c r="AF208" s="37">
        <f>0</f>
        <v>0</v>
      </c>
      <c r="AG208" s="39"/>
      <c r="AH208" s="39">
        <f t="shared" si="213"/>
        <v>0</v>
      </c>
      <c r="AI208" s="34">
        <f>0</f>
        <v>0</v>
      </c>
      <c r="AJ208" s="39">
        <f>0</f>
        <v>0</v>
      </c>
      <c r="AK208" s="39">
        <f t="shared" si="214"/>
        <v>0</v>
      </c>
      <c r="AL208" s="210">
        <f t="shared" si="203"/>
        <v>-2628000</v>
      </c>
    </row>
    <row r="209" spans="2:46" ht="46.8" customHeight="1">
      <c r="B209" s="48" t="s">
        <v>276</v>
      </c>
      <c r="C209" s="186" t="s">
        <v>279</v>
      </c>
      <c r="D209" s="46"/>
      <c r="E209" s="187" t="s">
        <v>429</v>
      </c>
      <c r="F209" s="18" t="s">
        <v>168</v>
      </c>
      <c r="G209" s="19"/>
      <c r="H209" s="116">
        <v>2021</v>
      </c>
      <c r="I209" s="116">
        <v>2022</v>
      </c>
      <c r="J209" s="34">
        <f>'[1]Summary for IPSIS'!$H$163+'[1]Summary for IPSIS'!$I$163</f>
        <v>3881088</v>
      </c>
      <c r="K209" s="31">
        <f>+'[1]Summary for IPSIS'!$J$163</f>
        <v>0</v>
      </c>
      <c r="L209" s="39">
        <f t="shared" si="204"/>
        <v>3881088</v>
      </c>
      <c r="M209" s="34">
        <f>'[1]Summary for IPSIS'!$T$163+'[1]Summary for IPSIS'!$U$163</f>
        <v>3881088</v>
      </c>
      <c r="N209" s="31">
        <f>'[1]Summary for IPSIS'!$V$163</f>
        <v>0</v>
      </c>
      <c r="O209" s="39">
        <f t="shared" si="205"/>
        <v>3881088</v>
      </c>
      <c r="P209" s="34">
        <f>'[1]Summary for IPSIS'!$AF$163+'[1]Summary for IPSIS'!$AG$163</f>
        <v>0</v>
      </c>
      <c r="Q209" s="39">
        <f>'[1]Summary for IPSIS'!$AH$163</f>
        <v>0</v>
      </c>
      <c r="R209" s="39">
        <f t="shared" si="206"/>
        <v>0</v>
      </c>
      <c r="S209" s="34">
        <f>'[1]Summary for IPSIS'!$AR$163+'[1]Summary for IPSIS'!$AS$163</f>
        <v>0</v>
      </c>
      <c r="T209" s="39">
        <f>'[1]Summary for IPSIS'!$AT$163</f>
        <v>0</v>
      </c>
      <c r="U209" s="39">
        <f t="shared" si="207"/>
        <v>0</v>
      </c>
      <c r="V209" s="34">
        <f>'[1]Summary for IPSIS'!$BD$163+'[1]Summary for IPSIS'!$BE$163</f>
        <v>0</v>
      </c>
      <c r="W209" s="39">
        <f>'[1]Summary for IPSIS'!$BF$163</f>
        <v>0</v>
      </c>
      <c r="X209" s="39">
        <f t="shared" si="208"/>
        <v>0</v>
      </c>
      <c r="Y209" s="39">
        <f t="shared" si="209"/>
        <v>7762176</v>
      </c>
      <c r="Z209" s="39">
        <f t="shared" si="210"/>
        <v>0</v>
      </c>
      <c r="AA209" s="39">
        <f t="shared" si="211"/>
        <v>7762176</v>
      </c>
      <c r="AB209" s="41">
        <f>3881088+3881088</f>
        <v>7762176</v>
      </c>
      <c r="AC209" s="37">
        <f>0</f>
        <v>0</v>
      </c>
      <c r="AD209" s="39">
        <f t="shared" si="212"/>
        <v>7762176</v>
      </c>
      <c r="AE209" s="41">
        <f>0</f>
        <v>0</v>
      </c>
      <c r="AF209" s="37">
        <f>0</f>
        <v>0</v>
      </c>
      <c r="AG209" s="39"/>
      <c r="AH209" s="39">
        <f t="shared" si="213"/>
        <v>0</v>
      </c>
      <c r="AI209" s="34">
        <f>0</f>
        <v>0</v>
      </c>
      <c r="AJ209" s="39">
        <f>0</f>
        <v>0</v>
      </c>
      <c r="AK209" s="39">
        <f t="shared" si="214"/>
        <v>0</v>
      </c>
      <c r="AL209" s="210">
        <f t="shared" si="203"/>
        <v>0</v>
      </c>
    </row>
    <row r="210" spans="2:46" ht="36.6" thickBot="1">
      <c r="B210" s="233" t="s">
        <v>277</v>
      </c>
      <c r="C210" s="211" t="s">
        <v>278</v>
      </c>
      <c r="D210" s="178"/>
      <c r="E210" s="213" t="s">
        <v>429</v>
      </c>
      <c r="F210" s="91" t="s">
        <v>168</v>
      </c>
      <c r="G210" s="89"/>
      <c r="H210" s="117">
        <v>2022</v>
      </c>
      <c r="I210" s="117">
        <v>2023</v>
      </c>
      <c r="J210" s="234">
        <f>'[1]Summary for IPSIS'!$H$164+'[1]Summary for IPSIS'!$I$164</f>
        <v>0</v>
      </c>
      <c r="K210" s="215">
        <f>+'[1]Summary for IPSIS'!$J$164</f>
        <v>0</v>
      </c>
      <c r="L210" s="82">
        <f t="shared" si="204"/>
        <v>0</v>
      </c>
      <c r="M210" s="234">
        <f>'[1]Summary for IPSIS'!$T$164+'[1]Summary for IPSIS'!$U$164</f>
        <v>570000</v>
      </c>
      <c r="N210" s="215">
        <f>'[1]Summary for IPSIS'!$V$164</f>
        <v>0</v>
      </c>
      <c r="O210" s="82">
        <f t="shared" si="205"/>
        <v>570000</v>
      </c>
      <c r="P210" s="234">
        <f>'[1]Summary for IPSIS'!$AF$164+'[1]Summary for IPSIS'!$AG$164</f>
        <v>0</v>
      </c>
      <c r="Q210" s="82">
        <f>'[1]Summary for IPSIS'!$AH$164</f>
        <v>0</v>
      </c>
      <c r="R210" s="82">
        <f t="shared" si="206"/>
        <v>0</v>
      </c>
      <c r="S210" s="234">
        <f>'[1]Summary for IPSIS'!$AR$164+'[1]Summary for IPSIS'!$AS$164</f>
        <v>0</v>
      </c>
      <c r="T210" s="82">
        <f>'[1]Summary for IPSIS'!$AT$164</f>
        <v>0</v>
      </c>
      <c r="U210" s="82">
        <f t="shared" si="207"/>
        <v>0</v>
      </c>
      <c r="V210" s="234">
        <f>'[1]Summary for IPSIS'!$BD$164+'[1]Summary for IPSIS'!$BE$164</f>
        <v>0</v>
      </c>
      <c r="W210" s="82">
        <f>'[1]Summary for IPSIS'!$BF$164</f>
        <v>0</v>
      </c>
      <c r="X210" s="82">
        <f t="shared" si="208"/>
        <v>0</v>
      </c>
      <c r="Y210" s="82">
        <f t="shared" si="209"/>
        <v>570000</v>
      </c>
      <c r="Z210" s="82">
        <f t="shared" si="210"/>
        <v>0</v>
      </c>
      <c r="AA210" s="82">
        <f t="shared" si="211"/>
        <v>570000</v>
      </c>
      <c r="AB210" s="74">
        <f>0</f>
        <v>0</v>
      </c>
      <c r="AC210" s="90">
        <f>0</f>
        <v>0</v>
      </c>
      <c r="AD210" s="82">
        <f t="shared" si="212"/>
        <v>0</v>
      </c>
      <c r="AE210" s="74">
        <f>0</f>
        <v>0</v>
      </c>
      <c r="AF210" s="90">
        <f>0</f>
        <v>0</v>
      </c>
      <c r="AG210" s="82"/>
      <c r="AH210" s="82">
        <f t="shared" si="213"/>
        <v>0</v>
      </c>
      <c r="AI210" s="234">
        <f>0</f>
        <v>0</v>
      </c>
      <c r="AJ210" s="82">
        <f>0</f>
        <v>0</v>
      </c>
      <c r="AK210" s="82">
        <f t="shared" si="214"/>
        <v>0</v>
      </c>
      <c r="AL210" s="217">
        <f t="shared" si="203"/>
        <v>-570000</v>
      </c>
    </row>
    <row r="211" spans="2:46" s="6" customFormat="1" ht="27.6" customHeight="1" thickBot="1">
      <c r="B211" s="58"/>
      <c r="C211" s="65" t="s">
        <v>80</v>
      </c>
      <c r="D211" s="66"/>
      <c r="E211" s="66"/>
      <c r="F211" s="56"/>
      <c r="G211" s="56"/>
      <c r="H211" s="56"/>
      <c r="I211" s="56"/>
      <c r="J211" s="57">
        <f t="shared" ref="J211:L211" si="215">SUM(J204:J210)</f>
        <v>11599488</v>
      </c>
      <c r="K211" s="57">
        <f t="shared" si="215"/>
        <v>0</v>
      </c>
      <c r="L211" s="57">
        <f t="shared" si="215"/>
        <v>11599488</v>
      </c>
      <c r="M211" s="57">
        <f t="shared" ref="M211:AL211" si="216">SUM(M204:M210)</f>
        <v>13322624</v>
      </c>
      <c r="N211" s="57">
        <f t="shared" si="216"/>
        <v>0</v>
      </c>
      <c r="O211" s="57">
        <f t="shared" si="216"/>
        <v>13322624</v>
      </c>
      <c r="P211" s="57">
        <f t="shared" si="216"/>
        <v>2029136</v>
      </c>
      <c r="Q211" s="57">
        <f t="shared" si="216"/>
        <v>0</v>
      </c>
      <c r="R211" s="57">
        <f t="shared" si="216"/>
        <v>2029136</v>
      </c>
      <c r="S211" s="57">
        <f t="shared" si="216"/>
        <v>355136</v>
      </c>
      <c r="T211" s="57">
        <f t="shared" si="216"/>
        <v>0</v>
      </c>
      <c r="U211" s="57">
        <f t="shared" si="216"/>
        <v>355136</v>
      </c>
      <c r="V211" s="57">
        <f t="shared" si="216"/>
        <v>355136</v>
      </c>
      <c r="W211" s="57">
        <f t="shared" si="216"/>
        <v>0</v>
      </c>
      <c r="X211" s="57">
        <f t="shared" si="216"/>
        <v>355136</v>
      </c>
      <c r="Y211" s="57">
        <f t="shared" si="216"/>
        <v>27661520</v>
      </c>
      <c r="Z211" s="57">
        <f t="shared" si="216"/>
        <v>0</v>
      </c>
      <c r="AA211" s="57">
        <f t="shared" si="216"/>
        <v>27661520</v>
      </c>
      <c r="AB211" s="57">
        <f t="shared" si="216"/>
        <v>22157248</v>
      </c>
      <c r="AC211" s="57">
        <f t="shared" si="216"/>
        <v>0</v>
      </c>
      <c r="AD211" s="57">
        <f t="shared" si="216"/>
        <v>22157248</v>
      </c>
      <c r="AE211" s="57">
        <f t="shared" si="216"/>
        <v>0</v>
      </c>
      <c r="AF211" s="57">
        <f t="shared" si="216"/>
        <v>0</v>
      </c>
      <c r="AG211" s="57"/>
      <c r="AH211" s="57">
        <f t="shared" si="216"/>
        <v>0</v>
      </c>
      <c r="AI211" s="57">
        <f t="shared" si="216"/>
        <v>710272</v>
      </c>
      <c r="AJ211" s="57">
        <f t="shared" si="216"/>
        <v>0</v>
      </c>
      <c r="AK211" s="57">
        <f t="shared" si="216"/>
        <v>710272</v>
      </c>
      <c r="AL211" s="218">
        <f t="shared" si="216"/>
        <v>-4794000</v>
      </c>
      <c r="AM211" s="36"/>
      <c r="AN211" s="36"/>
      <c r="AO211" s="36"/>
      <c r="AP211" s="36"/>
      <c r="AQ211" s="36"/>
      <c r="AR211" s="36"/>
      <c r="AS211" s="36"/>
      <c r="AT211" s="36"/>
    </row>
    <row r="212" spans="2:46" ht="51" customHeight="1">
      <c r="B212" s="161">
        <v>5.3</v>
      </c>
      <c r="C212" s="283" t="s">
        <v>415</v>
      </c>
      <c r="D212" s="284"/>
      <c r="E212" s="208"/>
      <c r="F212" s="75"/>
      <c r="G212" s="75"/>
      <c r="H212" s="81"/>
      <c r="I212" s="81"/>
      <c r="J212" s="80"/>
      <c r="K212" s="80"/>
      <c r="L212" s="78"/>
      <c r="M212" s="80"/>
      <c r="N212" s="80"/>
      <c r="O212" s="78"/>
      <c r="P212" s="80"/>
      <c r="Q212" s="78"/>
      <c r="R212" s="78"/>
      <c r="S212" s="80"/>
      <c r="T212" s="78"/>
      <c r="U212" s="78"/>
      <c r="V212" s="80"/>
      <c r="W212" s="78"/>
      <c r="X212" s="78"/>
      <c r="Y212" s="78"/>
      <c r="Z212" s="78"/>
      <c r="AA212" s="78"/>
      <c r="AB212" s="80"/>
      <c r="AC212" s="78"/>
      <c r="AD212" s="78"/>
      <c r="AE212" s="80"/>
      <c r="AF212" s="78"/>
      <c r="AG212" s="78"/>
      <c r="AH212" s="78"/>
      <c r="AI212" s="80"/>
      <c r="AJ212" s="78"/>
      <c r="AK212" s="78"/>
      <c r="AL212" s="79"/>
    </row>
    <row r="213" spans="2:46" ht="24.6" customHeight="1">
      <c r="B213" s="162"/>
      <c r="C213" s="113" t="s">
        <v>141</v>
      </c>
      <c r="D213" s="60"/>
      <c r="E213" s="60"/>
      <c r="F213" s="18"/>
      <c r="G213" s="18"/>
      <c r="H213" s="15"/>
      <c r="I213" s="15"/>
      <c r="J213" s="34"/>
      <c r="K213" s="34"/>
      <c r="L213" s="39"/>
      <c r="M213" s="34"/>
      <c r="N213" s="34"/>
      <c r="O213" s="39"/>
      <c r="P213" s="34"/>
      <c r="Q213" s="39"/>
      <c r="R213" s="39"/>
      <c r="S213" s="34"/>
      <c r="T213" s="39"/>
      <c r="U213" s="39"/>
      <c r="V213" s="34"/>
      <c r="W213" s="39"/>
      <c r="X213" s="39"/>
      <c r="Y213" s="39"/>
      <c r="Z213" s="39"/>
      <c r="AA213" s="39"/>
      <c r="AB213" s="34"/>
      <c r="AC213" s="39"/>
      <c r="AD213" s="39"/>
      <c r="AE213" s="34"/>
      <c r="AF213" s="39"/>
      <c r="AG213" s="39"/>
      <c r="AH213" s="39"/>
      <c r="AI213" s="34"/>
      <c r="AJ213" s="39"/>
      <c r="AK213" s="39"/>
      <c r="AL213" s="40"/>
    </row>
    <row r="214" spans="2:46" ht="36">
      <c r="B214" s="48" t="s">
        <v>49</v>
      </c>
      <c r="C214" s="186" t="s">
        <v>288</v>
      </c>
      <c r="D214" s="46"/>
      <c r="E214" s="187" t="s">
        <v>429</v>
      </c>
      <c r="F214" s="16" t="s">
        <v>168</v>
      </c>
      <c r="G214" s="16" t="s">
        <v>273</v>
      </c>
      <c r="H214" s="114">
        <v>2021</v>
      </c>
      <c r="I214" s="114">
        <v>2023</v>
      </c>
      <c r="J214" s="31">
        <f>'[1]Summary for IPSIS'!$H$166+'[1]Summary for IPSIS'!$I$166</f>
        <v>468000</v>
      </c>
      <c r="K214" s="31">
        <f>'[1]Summary for IPSIS'!$J$166</f>
        <v>0</v>
      </c>
      <c r="L214" s="39">
        <f>SUM(J214:K214)</f>
        <v>468000</v>
      </c>
      <c r="M214" s="31">
        <f>'[1]Summary for IPSIS'!$T$166+'[1]Summary for IPSIS'!$U$166</f>
        <v>468000</v>
      </c>
      <c r="N214" s="31">
        <f>'[1]Summary for IPSIS'!$V$166</f>
        <v>0</v>
      </c>
      <c r="O214" s="39">
        <f>SUM(M214:N214)</f>
        <v>468000</v>
      </c>
      <c r="P214" s="34">
        <f>'[1]Summary for IPSIS'!$AF$166+'[1]Summary for IPSIS'!$AG$166</f>
        <v>468000</v>
      </c>
      <c r="Q214" s="39">
        <f>'[1]Summary for IPSIS'!$AH$166</f>
        <v>0</v>
      </c>
      <c r="R214" s="39">
        <f>SUM(P214:Q214)</f>
        <v>468000</v>
      </c>
      <c r="S214" s="34">
        <f>'[1]Summary for IPSIS'!$AR$166+'[1]Summary for IPSIS'!$AS$166</f>
        <v>0</v>
      </c>
      <c r="T214" s="39">
        <f>'[1]Summary for IPSIS'!$AT$166</f>
        <v>0</v>
      </c>
      <c r="U214" s="39">
        <f>SUM(S214:T214)</f>
        <v>0</v>
      </c>
      <c r="V214" s="34">
        <f>'[1]Summary for IPSIS'!$BD$166+'[1]Summary for IPSIS'!$BE$166</f>
        <v>0</v>
      </c>
      <c r="W214" s="39">
        <f>'[1]Summary for IPSIS'!$BF$166</f>
        <v>0</v>
      </c>
      <c r="X214" s="39">
        <f>SUM(V214:W214)</f>
        <v>0</v>
      </c>
      <c r="Y214" s="39">
        <f>J214+M214+P214+S214+V214</f>
        <v>1404000</v>
      </c>
      <c r="Z214" s="39">
        <f>K214+N214+Q214+T214+W214</f>
        <v>0</v>
      </c>
      <c r="AA214" s="39">
        <f>SUM(Y214:Z214)</f>
        <v>1404000</v>
      </c>
      <c r="AB214" s="41">
        <f>468000+468000+468000</f>
        <v>1404000</v>
      </c>
      <c r="AC214" s="37">
        <f>0</f>
        <v>0</v>
      </c>
      <c r="AD214" s="37">
        <f>SUM(AB214:AC214)</f>
        <v>1404000</v>
      </c>
      <c r="AE214" s="41">
        <f>0</f>
        <v>0</v>
      </c>
      <c r="AF214" s="37">
        <f>0</f>
        <v>0</v>
      </c>
      <c r="AG214" s="39"/>
      <c r="AH214" s="39">
        <f>SUM(AE214:AF214)</f>
        <v>0</v>
      </c>
      <c r="AI214" s="34">
        <f>0</f>
        <v>0</v>
      </c>
      <c r="AJ214" s="39">
        <f>0</f>
        <v>0</v>
      </c>
      <c r="AK214" s="39">
        <f>SUM(AI214:AJ214)</f>
        <v>0</v>
      </c>
      <c r="AL214" s="210">
        <f t="shared" ref="AL214:AL221" si="217">SUM(AK214+AH214+AD214)-AA214</f>
        <v>0</v>
      </c>
    </row>
    <row r="215" spans="2:46" ht="32.4" customHeight="1">
      <c r="B215" s="48" t="s">
        <v>50</v>
      </c>
      <c r="C215" s="186" t="s">
        <v>289</v>
      </c>
      <c r="D215" s="46"/>
      <c r="E215" s="187" t="s">
        <v>429</v>
      </c>
      <c r="F215" s="16" t="s">
        <v>168</v>
      </c>
      <c r="G215" s="16" t="s">
        <v>273</v>
      </c>
      <c r="H215" s="114">
        <v>2021</v>
      </c>
      <c r="I215" s="114">
        <v>2023</v>
      </c>
      <c r="J215" s="31">
        <f>'[1]Summary for IPSIS'!$H$167+'[1]Summary for IPSIS'!$I$167</f>
        <v>194368</v>
      </c>
      <c r="K215" s="31">
        <f>'[1]Summary for IPSIS'!$J$167</f>
        <v>0</v>
      </c>
      <c r="L215" s="39">
        <f t="shared" ref="L215:L221" si="218">SUM(J215:K215)</f>
        <v>194368</v>
      </c>
      <c r="M215" s="31">
        <f>'[1]Summary for IPSIS'!$T$167+'[1]Summary for IPSIS'!$U$167</f>
        <v>0</v>
      </c>
      <c r="N215" s="31">
        <f>'[1]Summary for IPSIS'!$V$167</f>
        <v>0</v>
      </c>
      <c r="O215" s="39">
        <f t="shared" ref="O215:O221" si="219">SUM(M215:N215)</f>
        <v>0</v>
      </c>
      <c r="P215" s="34">
        <f>'[1]Summary for IPSIS'!$AF$167+'[1]Summary for IPSIS'!$AG$167</f>
        <v>0</v>
      </c>
      <c r="Q215" s="39">
        <f>'[1]Summary for IPSIS'!$AH$167</f>
        <v>0</v>
      </c>
      <c r="R215" s="39">
        <f t="shared" ref="R215:R221" si="220">SUM(P215:Q215)</f>
        <v>0</v>
      </c>
      <c r="S215" s="34">
        <f>'[1]Summary for IPSIS'!$AR$167+'[1]Summary for IPSIS'!$AS$167</f>
        <v>0</v>
      </c>
      <c r="T215" s="39">
        <f>'[1]Summary for IPSIS'!$AT$167</f>
        <v>0</v>
      </c>
      <c r="U215" s="39">
        <f t="shared" ref="U215:U221" si="221">SUM(S215:T215)</f>
        <v>0</v>
      </c>
      <c r="V215" s="34">
        <f>'[1]Summary for IPSIS'!$BD$167+'[1]Summary for IPSIS'!$BE$167</f>
        <v>0</v>
      </c>
      <c r="W215" s="39">
        <f>'[1]Summary for IPSIS'!$BF$167</f>
        <v>0</v>
      </c>
      <c r="X215" s="39">
        <f t="shared" ref="X215:X221" si="222">SUM(V215:W215)</f>
        <v>0</v>
      </c>
      <c r="Y215" s="39">
        <f t="shared" ref="Y215:Y221" si="223">J215+M215+P215+S215+V215</f>
        <v>194368</v>
      </c>
      <c r="Z215" s="39">
        <f t="shared" ref="Z215:Z221" si="224">K215+N215+Q215+T215+W215</f>
        <v>0</v>
      </c>
      <c r="AA215" s="39">
        <f t="shared" ref="AA215:AA221" si="225">SUM(Y215:Z215)</f>
        <v>194368</v>
      </c>
      <c r="AB215" s="41">
        <f>194368</f>
        <v>194368</v>
      </c>
      <c r="AC215" s="37">
        <f>0</f>
        <v>0</v>
      </c>
      <c r="AD215" s="37">
        <f t="shared" ref="AD215:AD221" si="226">SUM(AB215:AC215)</f>
        <v>194368</v>
      </c>
      <c r="AE215" s="41">
        <f>0</f>
        <v>0</v>
      </c>
      <c r="AF215" s="37">
        <f>0</f>
        <v>0</v>
      </c>
      <c r="AG215" s="39"/>
      <c r="AH215" s="39">
        <f t="shared" ref="AH215:AH221" si="227">SUM(AE215:AF215)</f>
        <v>0</v>
      </c>
      <c r="AI215" s="34">
        <f>0</f>
        <v>0</v>
      </c>
      <c r="AJ215" s="39">
        <f>0</f>
        <v>0</v>
      </c>
      <c r="AK215" s="39">
        <f t="shared" ref="AK215:AK221" si="228">SUM(AI215:AJ215)</f>
        <v>0</v>
      </c>
      <c r="AL215" s="210">
        <f t="shared" si="217"/>
        <v>0</v>
      </c>
    </row>
    <row r="216" spans="2:46" ht="49.5" customHeight="1">
      <c r="B216" s="48" t="s">
        <v>51</v>
      </c>
      <c r="C216" s="186" t="s">
        <v>290</v>
      </c>
      <c r="D216" s="46"/>
      <c r="E216" s="187" t="s">
        <v>429</v>
      </c>
      <c r="F216" s="16" t="s">
        <v>168</v>
      </c>
      <c r="G216" s="16" t="s">
        <v>273</v>
      </c>
      <c r="H216" s="114">
        <v>2022</v>
      </c>
      <c r="I216" s="114">
        <v>2025</v>
      </c>
      <c r="J216" s="31">
        <f>'[1]Summary for IPSIS'!$H$168+'[1]Summary for IPSIS'!$I$168</f>
        <v>0</v>
      </c>
      <c r="K216" s="31">
        <f>'[1]Summary for IPSIS'!$J$168</f>
        <v>0</v>
      </c>
      <c r="L216" s="39">
        <f t="shared" si="218"/>
        <v>0</v>
      </c>
      <c r="M216" s="31">
        <f>'[1]Summary for IPSIS'!$T$168+'[1]Summary for IPSIS'!$U$168</f>
        <v>12000000</v>
      </c>
      <c r="N216" s="31">
        <f>'[1]Summary for IPSIS'!$V$168</f>
        <v>0</v>
      </c>
      <c r="O216" s="39">
        <f t="shared" si="219"/>
        <v>12000000</v>
      </c>
      <c r="P216" s="34">
        <f>'[1]Summary for IPSIS'!$AF$168+'[1]Summary for IPSIS'!$AG$168</f>
        <v>12000000</v>
      </c>
      <c r="Q216" s="39">
        <f>'[1]Summary for IPSIS'!$AH$168</f>
        <v>0</v>
      </c>
      <c r="R216" s="39">
        <f t="shared" si="220"/>
        <v>12000000</v>
      </c>
      <c r="S216" s="34">
        <f>'[1]Summary for IPSIS'!$AR$168+'[1]Summary for IPSIS'!$AS$168</f>
        <v>12000000</v>
      </c>
      <c r="T216" s="39">
        <f>'[1]Summary for IPSIS'!$AT$168</f>
        <v>0</v>
      </c>
      <c r="U216" s="39">
        <f t="shared" si="221"/>
        <v>12000000</v>
      </c>
      <c r="V216" s="34">
        <f>'[1]Summary for IPSIS'!$BD$168+'[1]Summary for IPSIS'!$BE$168</f>
        <v>12000000</v>
      </c>
      <c r="W216" s="39">
        <f>'[1]Summary for IPSIS'!$BF$168</f>
        <v>0</v>
      </c>
      <c r="X216" s="39">
        <f t="shared" si="222"/>
        <v>12000000</v>
      </c>
      <c r="Y216" s="39">
        <f t="shared" si="223"/>
        <v>48000000</v>
      </c>
      <c r="Z216" s="39">
        <f t="shared" si="224"/>
        <v>0</v>
      </c>
      <c r="AA216" s="39">
        <f t="shared" si="225"/>
        <v>48000000</v>
      </c>
      <c r="AB216" s="41">
        <f>12000000+12000000</f>
        <v>24000000</v>
      </c>
      <c r="AC216" s="37">
        <f>0</f>
        <v>0</v>
      </c>
      <c r="AD216" s="37">
        <f t="shared" si="226"/>
        <v>24000000</v>
      </c>
      <c r="AE216" s="41">
        <f>0</f>
        <v>0</v>
      </c>
      <c r="AF216" s="37">
        <f>0</f>
        <v>0</v>
      </c>
      <c r="AG216" s="39"/>
      <c r="AH216" s="39">
        <f t="shared" si="227"/>
        <v>0</v>
      </c>
      <c r="AI216" s="34">
        <f>12000000+12000000</f>
        <v>24000000</v>
      </c>
      <c r="AJ216" s="39">
        <f>0</f>
        <v>0</v>
      </c>
      <c r="AK216" s="39">
        <f t="shared" si="228"/>
        <v>24000000</v>
      </c>
      <c r="AL216" s="210">
        <f t="shared" si="217"/>
        <v>0</v>
      </c>
    </row>
    <row r="217" spans="2:46" ht="49.5" customHeight="1">
      <c r="B217" s="48" t="s">
        <v>283</v>
      </c>
      <c r="C217" s="186" t="s">
        <v>291</v>
      </c>
      <c r="D217" s="46"/>
      <c r="E217" s="187" t="s">
        <v>429</v>
      </c>
      <c r="F217" s="16" t="s">
        <v>168</v>
      </c>
      <c r="G217" s="16"/>
      <c r="H217" s="114">
        <v>2022</v>
      </c>
      <c r="I217" s="114">
        <v>2025</v>
      </c>
      <c r="J217" s="31">
        <f>'[1]Summary for IPSIS'!$H$169+'[1]Summary for IPSIS'!$I$169</f>
        <v>0</v>
      </c>
      <c r="K217" s="31">
        <f>'[1]Summary for IPSIS'!$J$169</f>
        <v>0</v>
      </c>
      <c r="L217" s="39">
        <f t="shared" si="218"/>
        <v>0</v>
      </c>
      <c r="M217" s="31">
        <f>'[1]Summary for IPSIS'!$T$169+'[1]Summary for IPSIS'!$U$169</f>
        <v>6000000</v>
      </c>
      <c r="N217" s="31">
        <f>'[1]Summary for IPSIS'!$V$169</f>
        <v>0</v>
      </c>
      <c r="O217" s="39">
        <f t="shared" si="219"/>
        <v>6000000</v>
      </c>
      <c r="P217" s="34">
        <f>'[1]Summary for IPSIS'!$AF$169+'[1]Summary for IPSIS'!$AG$169</f>
        <v>6000000</v>
      </c>
      <c r="Q217" s="39">
        <f>'[1]Summary for IPSIS'!$AH$169</f>
        <v>0</v>
      </c>
      <c r="R217" s="39">
        <f t="shared" si="220"/>
        <v>6000000</v>
      </c>
      <c r="S217" s="34">
        <f>'[1]Summary for IPSIS'!$AR$169+'[1]Summary for IPSIS'!$AS$169</f>
        <v>6000000</v>
      </c>
      <c r="T217" s="39">
        <f>'[1]Summary for IPSIS'!$AT$169</f>
        <v>0</v>
      </c>
      <c r="U217" s="39">
        <f t="shared" si="221"/>
        <v>6000000</v>
      </c>
      <c r="V217" s="34">
        <f>'[1]Summary for IPSIS'!$BD$169+'[1]Summary for IPSIS'!$BE$169</f>
        <v>6000000</v>
      </c>
      <c r="W217" s="39">
        <f>'[1]Summary for IPSIS'!$BF$169</f>
        <v>0</v>
      </c>
      <c r="X217" s="39">
        <f t="shared" si="222"/>
        <v>6000000</v>
      </c>
      <c r="Y217" s="39">
        <f t="shared" si="223"/>
        <v>24000000</v>
      </c>
      <c r="Z217" s="39">
        <f t="shared" si="224"/>
        <v>0</v>
      </c>
      <c r="AA217" s="39">
        <f t="shared" si="225"/>
        <v>24000000</v>
      </c>
      <c r="AB217" s="41">
        <f>6000000+6000000</f>
        <v>12000000</v>
      </c>
      <c r="AC217" s="37">
        <f>0</f>
        <v>0</v>
      </c>
      <c r="AD217" s="37">
        <f t="shared" si="226"/>
        <v>12000000</v>
      </c>
      <c r="AE217" s="41">
        <f>0</f>
        <v>0</v>
      </c>
      <c r="AF217" s="37">
        <f>0</f>
        <v>0</v>
      </c>
      <c r="AG217" s="39"/>
      <c r="AH217" s="39">
        <f t="shared" si="227"/>
        <v>0</v>
      </c>
      <c r="AI217" s="34">
        <f>6000000+6000000</f>
        <v>12000000</v>
      </c>
      <c r="AJ217" s="39">
        <f>0</f>
        <v>0</v>
      </c>
      <c r="AK217" s="39">
        <f t="shared" si="228"/>
        <v>12000000</v>
      </c>
      <c r="AL217" s="210">
        <f t="shared" si="217"/>
        <v>0</v>
      </c>
    </row>
    <row r="218" spans="2:46" ht="40.799999999999997" customHeight="1">
      <c r="B218" s="48" t="s">
        <v>284</v>
      </c>
      <c r="C218" s="186" t="s">
        <v>292</v>
      </c>
      <c r="D218" s="46"/>
      <c r="E218" s="187" t="s">
        <v>429</v>
      </c>
      <c r="F218" s="16" t="s">
        <v>168</v>
      </c>
      <c r="G218" s="16" t="s">
        <v>273</v>
      </c>
      <c r="H218" s="114">
        <v>2022</v>
      </c>
      <c r="I218" s="114">
        <v>2025</v>
      </c>
      <c r="J218" s="31">
        <f>'[1]Summary for IPSIS'!$H$170+'[1]Summary for IPSIS'!$I$170</f>
        <v>0</v>
      </c>
      <c r="K218" s="31">
        <f>'[1]Summary for IPSIS'!$J$170</f>
        <v>0</v>
      </c>
      <c r="L218" s="39">
        <f t="shared" si="218"/>
        <v>0</v>
      </c>
      <c r="M218" s="31">
        <f>'[1]Summary for IPSIS'!$T$170+'[1]Summary for IPSIS'!$U$170</f>
        <v>361760</v>
      </c>
      <c r="N218" s="31">
        <f>'[1]Summary for IPSIS'!$V$170</f>
        <v>0</v>
      </c>
      <c r="O218" s="39">
        <f t="shared" si="219"/>
        <v>361760</v>
      </c>
      <c r="P218" s="34">
        <f>'[1]Summary for IPSIS'!$AF$170+'[1]Summary for IPSIS'!$AG$170</f>
        <v>361760</v>
      </c>
      <c r="Q218" s="39">
        <f>'[1]Summary for IPSIS'!$AH$170</f>
        <v>0</v>
      </c>
      <c r="R218" s="39">
        <f t="shared" si="220"/>
        <v>361760</v>
      </c>
      <c r="S218" s="34">
        <f>'[1]Summary for IPSIS'!$AR$170+'[1]Summary for IPSIS'!$AS$170</f>
        <v>361760</v>
      </c>
      <c r="T218" s="39">
        <f>'[1]Summary for IPSIS'!$AT$170</f>
        <v>0</v>
      </c>
      <c r="U218" s="39">
        <f t="shared" si="221"/>
        <v>361760</v>
      </c>
      <c r="V218" s="34">
        <f>'[1]Summary for IPSIS'!$BD$170+'[1]Summary for IPSIS'!$BE$170</f>
        <v>361760</v>
      </c>
      <c r="W218" s="39">
        <f>'[1]Summary for IPSIS'!$BF$170</f>
        <v>0</v>
      </c>
      <c r="X218" s="39">
        <f t="shared" si="222"/>
        <v>361760</v>
      </c>
      <c r="Y218" s="39">
        <f t="shared" si="223"/>
        <v>1447040</v>
      </c>
      <c r="Z218" s="39">
        <f t="shared" si="224"/>
        <v>0</v>
      </c>
      <c r="AA218" s="39">
        <f t="shared" si="225"/>
        <v>1447040</v>
      </c>
      <c r="AB218" s="41">
        <f>361760+361760</f>
        <v>723520</v>
      </c>
      <c r="AC218" s="37">
        <f>0</f>
        <v>0</v>
      </c>
      <c r="AD218" s="37">
        <f t="shared" si="226"/>
        <v>723520</v>
      </c>
      <c r="AE218" s="41">
        <f>0</f>
        <v>0</v>
      </c>
      <c r="AF218" s="37">
        <f>0</f>
        <v>0</v>
      </c>
      <c r="AG218" s="39"/>
      <c r="AH218" s="39">
        <f t="shared" si="227"/>
        <v>0</v>
      </c>
      <c r="AI218" s="34">
        <f>361760+361760</f>
        <v>723520</v>
      </c>
      <c r="AJ218" s="39">
        <f>0</f>
        <v>0</v>
      </c>
      <c r="AK218" s="39">
        <f t="shared" si="228"/>
        <v>723520</v>
      </c>
      <c r="AL218" s="210">
        <f t="shared" si="217"/>
        <v>0</v>
      </c>
    </row>
    <row r="219" spans="2:46" ht="38.4" customHeight="1">
      <c r="B219" s="48" t="s">
        <v>285</v>
      </c>
      <c r="C219" s="186" t="s">
        <v>293</v>
      </c>
      <c r="D219" s="46"/>
      <c r="E219" s="187" t="s">
        <v>429</v>
      </c>
      <c r="F219" s="16" t="s">
        <v>168</v>
      </c>
      <c r="G219" s="16"/>
      <c r="H219" s="114">
        <v>2021</v>
      </c>
      <c r="I219" s="114">
        <v>2025</v>
      </c>
      <c r="J219" s="31">
        <f>'[1]Summary for IPSIS'!$H$171+'[1]Summary for IPSIS'!$I$171</f>
        <v>1524096</v>
      </c>
      <c r="K219" s="31">
        <f>'[1]Summary for IPSIS'!$J$171</f>
        <v>0</v>
      </c>
      <c r="L219" s="39">
        <f t="shared" si="218"/>
        <v>1524096</v>
      </c>
      <c r="M219" s="31">
        <f>'[1]Summary for IPSIS'!$T$171+'[1]Summary for IPSIS'!$U$171</f>
        <v>1524096</v>
      </c>
      <c r="N219" s="31">
        <f>'[1]Summary for IPSIS'!$V$171</f>
        <v>0</v>
      </c>
      <c r="O219" s="39">
        <f t="shared" si="219"/>
        <v>1524096</v>
      </c>
      <c r="P219" s="34">
        <f>'[1]Summary for IPSIS'!$AF$171+'[1]Summary for IPSIS'!$AG$171</f>
        <v>1524096</v>
      </c>
      <c r="Q219" s="39">
        <f>'[1]Summary for IPSIS'!$AH$171</f>
        <v>0</v>
      </c>
      <c r="R219" s="39">
        <f t="shared" si="220"/>
        <v>1524096</v>
      </c>
      <c r="S219" s="34">
        <f>'[1]Summary for IPSIS'!$AR$171+'[1]Summary for IPSIS'!$AS$171</f>
        <v>1524096</v>
      </c>
      <c r="T219" s="39">
        <f>'[1]Summary for IPSIS'!$AT$171</f>
        <v>0</v>
      </c>
      <c r="U219" s="39">
        <f t="shared" si="221"/>
        <v>1524096</v>
      </c>
      <c r="V219" s="34">
        <f>'[1]Summary for IPSIS'!$BD$171+'[1]Summary for IPSIS'!$BE$171</f>
        <v>1524096</v>
      </c>
      <c r="W219" s="39">
        <f>'[1]Summary for IPSIS'!$BF$171</f>
        <v>0</v>
      </c>
      <c r="X219" s="39">
        <f t="shared" si="222"/>
        <v>1524096</v>
      </c>
      <c r="Y219" s="39">
        <f t="shared" si="223"/>
        <v>7620480</v>
      </c>
      <c r="Z219" s="39">
        <f t="shared" si="224"/>
        <v>0</v>
      </c>
      <c r="AA219" s="39">
        <f t="shared" si="225"/>
        <v>7620480</v>
      </c>
      <c r="AB219" s="41">
        <f>1524096+1524096+1524096</f>
        <v>4572288</v>
      </c>
      <c r="AC219" s="37">
        <f>0</f>
        <v>0</v>
      </c>
      <c r="AD219" s="37">
        <f t="shared" si="226"/>
        <v>4572288</v>
      </c>
      <c r="AE219" s="41">
        <f>0</f>
        <v>0</v>
      </c>
      <c r="AF219" s="37">
        <f>0</f>
        <v>0</v>
      </c>
      <c r="AG219" s="39"/>
      <c r="AH219" s="39">
        <f t="shared" si="227"/>
        <v>0</v>
      </c>
      <c r="AI219" s="34">
        <f>1524096+1524096</f>
        <v>3048192</v>
      </c>
      <c r="AJ219" s="39">
        <f>0</f>
        <v>0</v>
      </c>
      <c r="AK219" s="39">
        <f t="shared" si="228"/>
        <v>3048192</v>
      </c>
      <c r="AL219" s="210">
        <f t="shared" si="217"/>
        <v>0</v>
      </c>
    </row>
    <row r="220" spans="2:46" ht="49.5" customHeight="1">
      <c r="B220" s="48" t="s">
        <v>286</v>
      </c>
      <c r="C220" s="186" t="s">
        <v>294</v>
      </c>
      <c r="D220" s="46"/>
      <c r="E220" s="187" t="s">
        <v>429</v>
      </c>
      <c r="F220" s="16" t="s">
        <v>168</v>
      </c>
      <c r="G220" s="16" t="s">
        <v>295</v>
      </c>
      <c r="H220" s="114">
        <v>2022</v>
      </c>
      <c r="I220" s="114">
        <v>2023</v>
      </c>
      <c r="J220" s="31">
        <f>'[1]Summary for IPSIS'!$H$172+'[1]Summary for IPSIS'!$I$172</f>
        <v>0</v>
      </c>
      <c r="K220" s="31">
        <f>'[1]Summary for IPSIS'!$J$172</f>
        <v>0</v>
      </c>
      <c r="L220" s="39">
        <f t="shared" si="218"/>
        <v>0</v>
      </c>
      <c r="M220" s="31">
        <f>'[1]Summary for IPSIS'!$T$172+'[1]Summary for IPSIS'!$U$172</f>
        <v>1120800</v>
      </c>
      <c r="N220" s="31">
        <f>'[1]Summary for IPSIS'!$V$172</f>
        <v>0</v>
      </c>
      <c r="O220" s="39">
        <f t="shared" si="219"/>
        <v>1120800</v>
      </c>
      <c r="P220" s="34">
        <f>'[1]Summary for IPSIS'!$AF$172+'[1]Summary for IPSIS'!$AG$172</f>
        <v>456000</v>
      </c>
      <c r="Q220" s="39">
        <f>'[1]Summary for IPSIS'!$AH$172</f>
        <v>0</v>
      </c>
      <c r="R220" s="39">
        <f t="shared" si="220"/>
        <v>456000</v>
      </c>
      <c r="S220" s="34">
        <f>'[1]Summary for IPSIS'!$AR$172+'[1]Summary for IPSIS'!$AS$172</f>
        <v>0</v>
      </c>
      <c r="T220" s="39">
        <f>'[1]Summary for IPSIS'!$AT$172</f>
        <v>0</v>
      </c>
      <c r="U220" s="39">
        <f t="shared" si="221"/>
        <v>0</v>
      </c>
      <c r="V220" s="34">
        <f>'[1]Summary for IPSIS'!$BD$172+'[1]Summary for IPSIS'!$BE$172</f>
        <v>0</v>
      </c>
      <c r="W220" s="39">
        <f>'[1]Summary for IPSIS'!$BF$172</f>
        <v>0</v>
      </c>
      <c r="X220" s="39">
        <f t="shared" si="222"/>
        <v>0</v>
      </c>
      <c r="Y220" s="39">
        <f t="shared" si="223"/>
        <v>1576800</v>
      </c>
      <c r="Z220" s="39">
        <f t="shared" si="224"/>
        <v>0</v>
      </c>
      <c r="AA220" s="39">
        <f t="shared" si="225"/>
        <v>1576800</v>
      </c>
      <c r="AB220" s="41">
        <f>0</f>
        <v>0</v>
      </c>
      <c r="AC220" s="37">
        <f>0</f>
        <v>0</v>
      </c>
      <c r="AD220" s="37">
        <f t="shared" si="226"/>
        <v>0</v>
      </c>
      <c r="AE220" s="41">
        <f>0</f>
        <v>0</v>
      </c>
      <c r="AF220" s="37">
        <f>0</f>
        <v>0</v>
      </c>
      <c r="AG220" s="39"/>
      <c r="AH220" s="39">
        <f t="shared" si="227"/>
        <v>0</v>
      </c>
      <c r="AI220" s="34">
        <f>0</f>
        <v>0</v>
      </c>
      <c r="AJ220" s="39">
        <f>0</f>
        <v>0</v>
      </c>
      <c r="AK220" s="39">
        <f t="shared" si="228"/>
        <v>0</v>
      </c>
      <c r="AL220" s="210">
        <f t="shared" si="217"/>
        <v>-1576800</v>
      </c>
    </row>
    <row r="221" spans="2:46" ht="49.8" customHeight="1" thickBot="1">
      <c r="B221" s="233" t="s">
        <v>287</v>
      </c>
      <c r="C221" s="219" t="s">
        <v>759</v>
      </c>
      <c r="D221" s="178"/>
      <c r="E221" s="220" t="s">
        <v>428</v>
      </c>
      <c r="F221" s="21" t="s">
        <v>168</v>
      </c>
      <c r="G221" s="21" t="s">
        <v>295</v>
      </c>
      <c r="H221" s="9">
        <v>2021</v>
      </c>
      <c r="I221" s="9">
        <v>2022</v>
      </c>
      <c r="J221" s="215">
        <f>'[1]Summary for IPSIS'!$H$173+'[1]Summary for IPSIS'!$I$173</f>
        <v>225792</v>
      </c>
      <c r="K221" s="215">
        <f>'[1]Summary for IPSIS'!$J$173</f>
        <v>0</v>
      </c>
      <c r="L221" s="82">
        <f t="shared" si="218"/>
        <v>225792</v>
      </c>
      <c r="M221" s="215">
        <f>'[1]Summary for IPSIS'!$T$173+'[1]Summary for IPSIS'!$U$173</f>
        <v>225792</v>
      </c>
      <c r="N221" s="215">
        <f>'[1]Summary for IPSIS'!$V$173</f>
        <v>0</v>
      </c>
      <c r="O221" s="82">
        <f t="shared" si="219"/>
        <v>225792</v>
      </c>
      <c r="P221" s="234">
        <f>'[1]Summary for IPSIS'!$AF$173+'[1]Summary for IPSIS'!$AG$173</f>
        <v>0</v>
      </c>
      <c r="Q221" s="82">
        <f>'[1]Summary for IPSIS'!$AH$173</f>
        <v>0</v>
      </c>
      <c r="R221" s="82">
        <f t="shared" si="220"/>
        <v>0</v>
      </c>
      <c r="S221" s="234">
        <f>'[1]Summary for IPSIS'!$AR$173+'[1]Summary for IPSIS'!$AS$173</f>
        <v>0</v>
      </c>
      <c r="T221" s="82">
        <f>'[1]Summary for IPSIS'!$AT$173</f>
        <v>0</v>
      </c>
      <c r="U221" s="82">
        <f t="shared" si="221"/>
        <v>0</v>
      </c>
      <c r="V221" s="234">
        <f>'[1]Summary for IPSIS'!$BD$173+'[1]Summary for IPSIS'!$BE$173</f>
        <v>0</v>
      </c>
      <c r="W221" s="82">
        <f>'[1]Summary for IPSIS'!$BF$173</f>
        <v>0</v>
      </c>
      <c r="X221" s="82">
        <f t="shared" si="222"/>
        <v>0</v>
      </c>
      <c r="Y221" s="82">
        <f t="shared" si="223"/>
        <v>451584</v>
      </c>
      <c r="Z221" s="82">
        <f t="shared" si="224"/>
        <v>0</v>
      </c>
      <c r="AA221" s="82">
        <f t="shared" si="225"/>
        <v>451584</v>
      </c>
      <c r="AB221" s="74">
        <f>225792+225792</f>
        <v>451584</v>
      </c>
      <c r="AC221" s="90">
        <f>0</f>
        <v>0</v>
      </c>
      <c r="AD221" s="90">
        <f t="shared" si="226"/>
        <v>451584</v>
      </c>
      <c r="AE221" s="74">
        <f>0</f>
        <v>0</v>
      </c>
      <c r="AF221" s="90">
        <f>0</f>
        <v>0</v>
      </c>
      <c r="AG221" s="82"/>
      <c r="AH221" s="82">
        <f t="shared" si="227"/>
        <v>0</v>
      </c>
      <c r="AI221" s="234">
        <f>0</f>
        <v>0</v>
      </c>
      <c r="AJ221" s="82">
        <f>0</f>
        <v>0</v>
      </c>
      <c r="AK221" s="82">
        <f t="shared" si="228"/>
        <v>0</v>
      </c>
      <c r="AL221" s="217">
        <f t="shared" si="217"/>
        <v>0</v>
      </c>
    </row>
    <row r="222" spans="2:46" s="6" customFormat="1" ht="24" customHeight="1" thickBot="1">
      <c r="B222" s="58"/>
      <c r="C222" s="65" t="s">
        <v>81</v>
      </c>
      <c r="D222" s="66"/>
      <c r="E222" s="66"/>
      <c r="F222" s="56"/>
      <c r="G222" s="56"/>
      <c r="H222" s="56"/>
      <c r="I222" s="56"/>
      <c r="J222" s="57">
        <f t="shared" ref="J222:L222" si="229">SUM(J214:J221)</f>
        <v>2412256</v>
      </c>
      <c r="K222" s="57">
        <f t="shared" si="229"/>
        <v>0</v>
      </c>
      <c r="L222" s="57">
        <f t="shared" si="229"/>
        <v>2412256</v>
      </c>
      <c r="M222" s="57">
        <f t="shared" ref="M222:AA222" si="230">SUM(M214:M221)</f>
        <v>21700448</v>
      </c>
      <c r="N222" s="57">
        <f t="shared" si="230"/>
        <v>0</v>
      </c>
      <c r="O222" s="57">
        <f t="shared" si="230"/>
        <v>21700448</v>
      </c>
      <c r="P222" s="57">
        <f t="shared" si="230"/>
        <v>20809856</v>
      </c>
      <c r="Q222" s="57">
        <f t="shared" si="230"/>
        <v>0</v>
      </c>
      <c r="R222" s="57">
        <f t="shared" si="230"/>
        <v>20809856</v>
      </c>
      <c r="S222" s="57">
        <f t="shared" si="230"/>
        <v>19885856</v>
      </c>
      <c r="T222" s="57">
        <f t="shared" si="230"/>
        <v>0</v>
      </c>
      <c r="U222" s="57">
        <f t="shared" si="230"/>
        <v>19885856</v>
      </c>
      <c r="V222" s="57">
        <f t="shared" si="230"/>
        <v>19885856</v>
      </c>
      <c r="W222" s="57">
        <f t="shared" si="230"/>
        <v>0</v>
      </c>
      <c r="X222" s="57">
        <f t="shared" si="230"/>
        <v>19885856</v>
      </c>
      <c r="Y222" s="57">
        <f t="shared" si="230"/>
        <v>84694272</v>
      </c>
      <c r="Z222" s="57">
        <f t="shared" si="230"/>
        <v>0</v>
      </c>
      <c r="AA222" s="57">
        <f t="shared" si="230"/>
        <v>84694272</v>
      </c>
      <c r="AB222" s="57">
        <f t="shared" ref="AB222:AL222" si="231">SUM(AB214:AB221)</f>
        <v>43345760</v>
      </c>
      <c r="AC222" s="57">
        <f t="shared" si="231"/>
        <v>0</v>
      </c>
      <c r="AD222" s="57">
        <f t="shared" si="231"/>
        <v>43345760</v>
      </c>
      <c r="AE222" s="57">
        <f t="shared" si="231"/>
        <v>0</v>
      </c>
      <c r="AF222" s="57">
        <f t="shared" si="231"/>
        <v>0</v>
      </c>
      <c r="AG222" s="57">
        <f t="shared" si="231"/>
        <v>0</v>
      </c>
      <c r="AH222" s="57">
        <f t="shared" si="231"/>
        <v>0</v>
      </c>
      <c r="AI222" s="57">
        <f t="shared" si="231"/>
        <v>39771712</v>
      </c>
      <c r="AJ222" s="57">
        <f t="shared" si="231"/>
        <v>0</v>
      </c>
      <c r="AK222" s="57">
        <f t="shared" si="231"/>
        <v>39771712</v>
      </c>
      <c r="AL222" s="218">
        <f t="shared" si="231"/>
        <v>-1576800</v>
      </c>
      <c r="AM222" s="36"/>
      <c r="AN222" s="36"/>
      <c r="AO222" s="36"/>
      <c r="AP222" s="36"/>
      <c r="AQ222" s="36"/>
      <c r="AR222" s="36"/>
      <c r="AS222" s="36"/>
      <c r="AT222" s="36"/>
    </row>
    <row r="223" spans="2:46" s="6" customFormat="1" ht="30.75" customHeight="1" thickBot="1">
      <c r="B223" s="58"/>
      <c r="C223" s="285" t="s">
        <v>752</v>
      </c>
      <c r="D223" s="286"/>
      <c r="E223" s="185"/>
      <c r="F223" s="56"/>
      <c r="G223" s="56"/>
      <c r="H223" s="56"/>
      <c r="I223" s="56"/>
      <c r="J223" s="57">
        <f>J201+J211+J222</f>
        <v>16613344</v>
      </c>
      <c r="K223" s="57">
        <f t="shared" ref="K223:L223" si="232">K201+K211+K222</f>
        <v>0</v>
      </c>
      <c r="L223" s="57">
        <f t="shared" si="232"/>
        <v>16613344</v>
      </c>
      <c r="M223" s="57">
        <f>M201+M211+M222</f>
        <v>38147145.600000001</v>
      </c>
      <c r="N223" s="57">
        <f t="shared" ref="N223:AL223" si="233">N201+N211+N222</f>
        <v>0</v>
      </c>
      <c r="O223" s="57">
        <f t="shared" si="233"/>
        <v>38147145.600000001</v>
      </c>
      <c r="P223" s="57">
        <f t="shared" si="233"/>
        <v>23272665.600000001</v>
      </c>
      <c r="Q223" s="57">
        <f t="shared" si="233"/>
        <v>0</v>
      </c>
      <c r="R223" s="57">
        <f t="shared" si="233"/>
        <v>23272665.600000001</v>
      </c>
      <c r="S223" s="57">
        <f t="shared" si="233"/>
        <v>20674665.600000001</v>
      </c>
      <c r="T223" s="57">
        <f t="shared" si="233"/>
        <v>0</v>
      </c>
      <c r="U223" s="57">
        <f t="shared" si="233"/>
        <v>20674665.600000001</v>
      </c>
      <c r="V223" s="57">
        <f t="shared" si="233"/>
        <v>20674665.600000001</v>
      </c>
      <c r="W223" s="57">
        <f t="shared" si="233"/>
        <v>0</v>
      </c>
      <c r="X223" s="57">
        <f t="shared" si="233"/>
        <v>20674665.600000001</v>
      </c>
      <c r="Y223" s="57">
        <f>Y201+Y211+Y222</f>
        <v>119382486.40000001</v>
      </c>
      <c r="Z223" s="57">
        <f t="shared" si="233"/>
        <v>0</v>
      </c>
      <c r="AA223" s="57">
        <f>AA201+AA211+AA222</f>
        <v>119382486.40000001</v>
      </c>
      <c r="AB223" s="57">
        <f t="shared" si="233"/>
        <v>66142356</v>
      </c>
      <c r="AC223" s="57">
        <f t="shared" si="233"/>
        <v>0</v>
      </c>
      <c r="AD223" s="57">
        <f t="shared" si="233"/>
        <v>66142356</v>
      </c>
      <c r="AE223" s="57">
        <f t="shared" si="233"/>
        <v>0</v>
      </c>
      <c r="AF223" s="57">
        <f t="shared" si="233"/>
        <v>0</v>
      </c>
      <c r="AG223" s="57">
        <f t="shared" si="233"/>
        <v>0</v>
      </c>
      <c r="AH223" s="57">
        <f t="shared" si="233"/>
        <v>0</v>
      </c>
      <c r="AI223" s="57">
        <f t="shared" si="233"/>
        <v>41349332</v>
      </c>
      <c r="AJ223" s="57">
        <f t="shared" si="233"/>
        <v>0</v>
      </c>
      <c r="AK223" s="57">
        <f t="shared" si="233"/>
        <v>41349332</v>
      </c>
      <c r="AL223" s="218">
        <f t="shared" si="233"/>
        <v>-11890798.4</v>
      </c>
      <c r="AM223" s="36"/>
      <c r="AN223" s="36"/>
      <c r="AO223" s="36"/>
      <c r="AP223" s="36"/>
      <c r="AQ223" s="36"/>
      <c r="AR223" s="36"/>
      <c r="AS223" s="36"/>
      <c r="AT223" s="36"/>
    </row>
    <row r="224" spans="2:46" s="6" customFormat="1" ht="30.75" customHeight="1" thickBot="1">
      <c r="B224" s="287" t="s">
        <v>229</v>
      </c>
      <c r="C224" s="288"/>
      <c r="D224" s="288"/>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9"/>
      <c r="AM224" s="36"/>
      <c r="AN224" s="36"/>
      <c r="AO224" s="36"/>
      <c r="AP224" s="36"/>
      <c r="AQ224" s="36"/>
      <c r="AR224" s="36"/>
      <c r="AS224" s="36"/>
      <c r="AT224" s="36"/>
    </row>
    <row r="225" spans="2:46" ht="24" customHeight="1" thickBot="1">
      <c r="B225" s="290" t="s">
        <v>771</v>
      </c>
      <c r="C225" s="296"/>
      <c r="D225" s="296"/>
      <c r="E225" s="296"/>
      <c r="F225" s="296"/>
      <c r="G225" s="296"/>
      <c r="H225" s="296"/>
      <c r="I225" s="296"/>
      <c r="J225" s="296"/>
      <c r="K225" s="296"/>
      <c r="L225" s="296"/>
      <c r="M225" s="296"/>
      <c r="N225" s="296"/>
      <c r="O225" s="296"/>
      <c r="P225" s="296"/>
      <c r="Q225" s="296"/>
      <c r="R225" s="296"/>
      <c r="S225" s="296"/>
      <c r="T225" s="296"/>
      <c r="U225" s="296"/>
      <c r="V225" s="296"/>
      <c r="W225" s="296"/>
      <c r="X225" s="296"/>
      <c r="Y225" s="296"/>
      <c r="Z225" s="296"/>
      <c r="AA225" s="296"/>
      <c r="AB225" s="296"/>
      <c r="AC225" s="296"/>
      <c r="AD225" s="296"/>
      <c r="AE225" s="296"/>
      <c r="AF225" s="296"/>
      <c r="AG225" s="296"/>
      <c r="AH225" s="296"/>
      <c r="AI225" s="296"/>
      <c r="AJ225" s="296"/>
      <c r="AK225" s="296"/>
      <c r="AL225" s="297"/>
    </row>
    <row r="226" spans="2:46" ht="33" customHeight="1">
      <c r="B226" s="304" t="s">
        <v>0</v>
      </c>
      <c r="C226" s="310" t="s">
        <v>111</v>
      </c>
      <c r="D226" s="310" t="s">
        <v>1</v>
      </c>
      <c r="E226" s="164" t="s">
        <v>112</v>
      </c>
      <c r="F226" s="310" t="s">
        <v>747</v>
      </c>
      <c r="G226" s="310"/>
      <c r="H226" s="298" t="s">
        <v>116</v>
      </c>
      <c r="I226" s="298"/>
      <c r="J226" s="311" t="s">
        <v>119</v>
      </c>
      <c r="K226" s="311"/>
      <c r="L226" s="311"/>
      <c r="M226" s="311" t="s">
        <v>120</v>
      </c>
      <c r="N226" s="311"/>
      <c r="O226" s="311"/>
      <c r="P226" s="311" t="s">
        <v>121</v>
      </c>
      <c r="Q226" s="314"/>
      <c r="R226" s="314"/>
      <c r="S226" s="312" t="s">
        <v>122</v>
      </c>
      <c r="T226" s="312"/>
      <c r="U226" s="312"/>
      <c r="V226" s="312" t="s">
        <v>123</v>
      </c>
      <c r="W226" s="312"/>
      <c r="X226" s="312"/>
      <c r="Y226" s="312" t="s">
        <v>124</v>
      </c>
      <c r="Z226" s="314"/>
      <c r="AA226" s="314"/>
      <c r="AB226" s="311" t="s">
        <v>125</v>
      </c>
      <c r="AC226" s="311"/>
      <c r="AD226" s="311"/>
      <c r="AE226" s="311"/>
      <c r="AF226" s="311"/>
      <c r="AG226" s="311"/>
      <c r="AH226" s="311"/>
      <c r="AI226" s="311" t="s">
        <v>131</v>
      </c>
      <c r="AJ226" s="317"/>
      <c r="AK226" s="317"/>
      <c r="AL226" s="323" t="s">
        <v>132</v>
      </c>
    </row>
    <row r="227" spans="2:46" ht="28.5" customHeight="1">
      <c r="B227" s="305"/>
      <c r="C227" s="308"/>
      <c r="D227" s="308"/>
      <c r="E227" s="308" t="s">
        <v>113</v>
      </c>
      <c r="F227" s="318" t="s">
        <v>114</v>
      </c>
      <c r="G227" s="318" t="s">
        <v>115</v>
      </c>
      <c r="H227" s="320" t="s">
        <v>117</v>
      </c>
      <c r="I227" s="320" t="s">
        <v>117</v>
      </c>
      <c r="J227" s="299"/>
      <c r="K227" s="299"/>
      <c r="L227" s="299"/>
      <c r="M227" s="299"/>
      <c r="N227" s="299"/>
      <c r="O227" s="299"/>
      <c r="P227" s="315"/>
      <c r="Q227" s="315"/>
      <c r="R227" s="315"/>
      <c r="S227" s="313"/>
      <c r="T227" s="313"/>
      <c r="U227" s="313"/>
      <c r="V227" s="313"/>
      <c r="W227" s="313"/>
      <c r="X227" s="313"/>
      <c r="Y227" s="315"/>
      <c r="Z227" s="315"/>
      <c r="AA227" s="315"/>
      <c r="AB227" s="299" t="s">
        <v>127</v>
      </c>
      <c r="AC227" s="300"/>
      <c r="AD227" s="300"/>
      <c r="AE227" s="299" t="s">
        <v>128</v>
      </c>
      <c r="AF227" s="301"/>
      <c r="AG227" s="301"/>
      <c r="AH227" s="301"/>
      <c r="AI227" s="316" t="s">
        <v>134</v>
      </c>
      <c r="AJ227" s="316"/>
      <c r="AK227" s="316"/>
      <c r="AL227" s="324"/>
    </row>
    <row r="228" spans="2:46" ht="28.5" customHeight="1" thickBot="1">
      <c r="B228" s="306"/>
      <c r="C228" s="322"/>
      <c r="D228" s="322"/>
      <c r="E228" s="322"/>
      <c r="F228" s="319"/>
      <c r="G228" s="319"/>
      <c r="H228" s="321"/>
      <c r="I228" s="321"/>
      <c r="J228" s="205" t="s">
        <v>87</v>
      </c>
      <c r="K228" s="206" t="s">
        <v>88</v>
      </c>
      <c r="L228" s="206" t="s">
        <v>133</v>
      </c>
      <c r="M228" s="205" t="s">
        <v>87</v>
      </c>
      <c r="N228" s="206" t="s">
        <v>88</v>
      </c>
      <c r="O228" s="206" t="s">
        <v>133</v>
      </c>
      <c r="P228" s="205" t="s">
        <v>87</v>
      </c>
      <c r="Q228" s="206" t="s">
        <v>88</v>
      </c>
      <c r="R228" s="206" t="s">
        <v>133</v>
      </c>
      <c r="S228" s="205" t="s">
        <v>87</v>
      </c>
      <c r="T228" s="206" t="s">
        <v>88</v>
      </c>
      <c r="U228" s="206" t="s">
        <v>133</v>
      </c>
      <c r="V228" s="205" t="s">
        <v>87</v>
      </c>
      <c r="W228" s="206" t="s">
        <v>88</v>
      </c>
      <c r="X228" s="206" t="s">
        <v>133</v>
      </c>
      <c r="Y228" s="206" t="s">
        <v>87</v>
      </c>
      <c r="Z228" s="206" t="s">
        <v>88</v>
      </c>
      <c r="AA228" s="206" t="s">
        <v>133</v>
      </c>
      <c r="AB228" s="205" t="s">
        <v>87</v>
      </c>
      <c r="AC228" s="206" t="s">
        <v>88</v>
      </c>
      <c r="AD228" s="206" t="s">
        <v>126</v>
      </c>
      <c r="AE228" s="205" t="s">
        <v>87</v>
      </c>
      <c r="AF228" s="206" t="s">
        <v>88</v>
      </c>
      <c r="AG228" s="206" t="s">
        <v>129</v>
      </c>
      <c r="AH228" s="206" t="s">
        <v>130</v>
      </c>
      <c r="AI228" s="205" t="s">
        <v>87</v>
      </c>
      <c r="AJ228" s="206" t="s">
        <v>88</v>
      </c>
      <c r="AK228" s="206" t="s">
        <v>133</v>
      </c>
      <c r="AL228" s="207"/>
    </row>
    <row r="229" spans="2:46" ht="56.25" customHeight="1">
      <c r="B229" s="161">
        <v>6.1</v>
      </c>
      <c r="C229" s="283" t="s">
        <v>228</v>
      </c>
      <c r="D229" s="284"/>
      <c r="E229" s="208"/>
      <c r="F229" s="75"/>
      <c r="G229" s="88"/>
      <c r="H229" s="72"/>
      <c r="I229" s="72"/>
      <c r="J229" s="70"/>
      <c r="K229" s="70"/>
      <c r="L229" s="78"/>
      <c r="M229" s="70"/>
      <c r="N229" s="70"/>
      <c r="O229" s="78"/>
      <c r="P229" s="80"/>
      <c r="Q229" s="78"/>
      <c r="R229" s="78"/>
      <c r="S229" s="80"/>
      <c r="T229" s="78"/>
      <c r="U229" s="78"/>
      <c r="V229" s="80"/>
      <c r="W229" s="78"/>
      <c r="X229" s="78"/>
      <c r="Y229" s="78"/>
      <c r="Z229" s="78"/>
      <c r="AA229" s="78"/>
      <c r="AB229" s="80"/>
      <c r="AC229" s="78"/>
      <c r="AD229" s="78"/>
      <c r="AE229" s="80"/>
      <c r="AF229" s="78"/>
      <c r="AG229" s="78"/>
      <c r="AH229" s="78"/>
      <c r="AI229" s="80"/>
      <c r="AJ229" s="78"/>
      <c r="AK229" s="78"/>
      <c r="AL229" s="79"/>
    </row>
    <row r="230" spans="2:46" ht="21" customHeight="1">
      <c r="B230" s="162"/>
      <c r="C230" s="113" t="s">
        <v>141</v>
      </c>
      <c r="D230" s="60"/>
      <c r="E230" s="60"/>
      <c r="F230" s="18"/>
      <c r="G230" s="19"/>
      <c r="H230" s="11"/>
      <c r="I230" s="11"/>
      <c r="J230" s="31"/>
      <c r="K230" s="31"/>
      <c r="L230" s="39"/>
      <c r="M230" s="31"/>
      <c r="N230" s="31"/>
      <c r="O230" s="39"/>
      <c r="P230" s="34"/>
      <c r="Q230" s="39"/>
      <c r="R230" s="39"/>
      <c r="S230" s="34"/>
      <c r="T230" s="39"/>
      <c r="U230" s="39"/>
      <c r="V230" s="34"/>
      <c r="W230" s="39"/>
      <c r="X230" s="39"/>
      <c r="Y230" s="39"/>
      <c r="Z230" s="39"/>
      <c r="AA230" s="39"/>
      <c r="AB230" s="34"/>
      <c r="AC230" s="39"/>
      <c r="AD230" s="39"/>
      <c r="AE230" s="34"/>
      <c r="AF230" s="39"/>
      <c r="AG230" s="39"/>
      <c r="AH230" s="39"/>
      <c r="AI230" s="34"/>
      <c r="AJ230" s="39"/>
      <c r="AK230" s="39"/>
      <c r="AL230" s="40"/>
    </row>
    <row r="231" spans="2:46" ht="33.6" customHeight="1">
      <c r="B231" s="48" t="s">
        <v>52</v>
      </c>
      <c r="C231" s="186" t="s">
        <v>237</v>
      </c>
      <c r="D231" s="46"/>
      <c r="E231" s="187" t="s">
        <v>428</v>
      </c>
      <c r="F231" s="18" t="s">
        <v>168</v>
      </c>
      <c r="G231" s="19"/>
      <c r="H231" s="200">
        <v>2021</v>
      </c>
      <c r="I231" s="200">
        <v>2022</v>
      </c>
      <c r="J231" s="31">
        <f>'[1]Summary for IPSIS'!$H$176+'[1]Summary for IPSIS'!$I$176</f>
        <v>2882400</v>
      </c>
      <c r="K231" s="31">
        <f>'[1]Summary for IPSIS'!$J$176</f>
        <v>0</v>
      </c>
      <c r="L231" s="39">
        <f>SUM(J231:K231)</f>
        <v>2882400</v>
      </c>
      <c r="M231" s="31">
        <f>'[1]Summary for IPSIS'!$T$176+'[1]Summary for IPSIS'!$U$176</f>
        <v>2317920</v>
      </c>
      <c r="N231" s="31">
        <f>'[1]Summary for IPSIS'!$V$176</f>
        <v>0</v>
      </c>
      <c r="O231" s="39">
        <f>SUM(M231:N231)</f>
        <v>2317920</v>
      </c>
      <c r="P231" s="34">
        <f>'[1]Summary for IPSIS'!$AF$176+'[1]Summary for IPSIS'!$AG$176</f>
        <v>0</v>
      </c>
      <c r="Q231" s="39">
        <f>'[1]Summary for IPSIS'!$AH$176</f>
        <v>0</v>
      </c>
      <c r="R231" s="39">
        <f>SUM(P231:Q231)</f>
        <v>0</v>
      </c>
      <c r="S231" s="34">
        <f>'[1]Summary for IPSIS'!$AR$176+'[1]Summary for IPSIS'!$AS$176</f>
        <v>0</v>
      </c>
      <c r="T231" s="39">
        <f>'[1]Summary for IPSIS'!$AT$176</f>
        <v>0</v>
      </c>
      <c r="U231" s="39">
        <f>SUM(S231:T231)</f>
        <v>0</v>
      </c>
      <c r="V231" s="34">
        <f>'[1]Summary for IPSIS'!$BD$176+'[1]Summary for IPSIS'!$BE$176</f>
        <v>0</v>
      </c>
      <c r="W231" s="39">
        <f>'[1]Summary for IPSIS'!$BF$176</f>
        <v>0</v>
      </c>
      <c r="X231" s="39">
        <f>SUM(V231:W231)</f>
        <v>0</v>
      </c>
      <c r="Y231" s="39">
        <f>J231+M231+P231+S231+V231</f>
        <v>5200320</v>
      </c>
      <c r="Z231" s="39">
        <f>K231+N231+Q231+T231+W231</f>
        <v>0</v>
      </c>
      <c r="AA231" s="39">
        <f>SUM(Y231:Z231)</f>
        <v>5200320</v>
      </c>
      <c r="AB231" s="34">
        <f>2317920+2317920</f>
        <v>4635840</v>
      </c>
      <c r="AC231" s="39">
        <f>0</f>
        <v>0</v>
      </c>
      <c r="AD231" s="39">
        <f>SUM(AB231:AC231)</f>
        <v>4635840</v>
      </c>
      <c r="AE231" s="34">
        <f>0</f>
        <v>0</v>
      </c>
      <c r="AF231" s="39">
        <f>0</f>
        <v>0</v>
      </c>
      <c r="AG231" s="39"/>
      <c r="AH231" s="39">
        <f>SUM(AE231:AF231)</f>
        <v>0</v>
      </c>
      <c r="AI231" s="34">
        <f>0</f>
        <v>0</v>
      </c>
      <c r="AJ231" s="39">
        <f>0</f>
        <v>0</v>
      </c>
      <c r="AK231" s="39">
        <f>SUM(AI231:AJ231)</f>
        <v>0</v>
      </c>
      <c r="AL231" s="210">
        <f t="shared" ref="AL231:AL237" si="234">SUM(AK231+AH231+AD231)-AA231</f>
        <v>-564480</v>
      </c>
    </row>
    <row r="232" spans="2:46" ht="24">
      <c r="B232" s="48" t="s">
        <v>53</v>
      </c>
      <c r="C232" s="186" t="s">
        <v>236</v>
      </c>
      <c r="D232" s="46"/>
      <c r="E232" s="187" t="s">
        <v>713</v>
      </c>
      <c r="F232" s="18" t="s">
        <v>168</v>
      </c>
      <c r="G232" s="19"/>
      <c r="H232" s="200">
        <v>2021</v>
      </c>
      <c r="I232" s="200">
        <v>2025</v>
      </c>
      <c r="J232" s="31">
        <f>'[1]Summary for IPSIS'!$H$177+'[1]Summary for IPSIS'!$I$177</f>
        <v>1109280</v>
      </c>
      <c r="K232" s="31">
        <f>'[1]Summary for IPSIS'!$J$177</f>
        <v>0</v>
      </c>
      <c r="L232" s="39">
        <f t="shared" ref="L232:L237" si="235">SUM(J232:K232)</f>
        <v>1109280</v>
      </c>
      <c r="M232" s="31">
        <f>'[1]Summary for IPSIS'!$T$177+'[1]Summary for IPSIS'!$U$177</f>
        <v>1109280</v>
      </c>
      <c r="N232" s="31">
        <f>'[1]Summary for IPSIS'!$V$177</f>
        <v>0</v>
      </c>
      <c r="O232" s="39">
        <f t="shared" ref="O232:O237" si="236">SUM(M232:N232)</f>
        <v>1109280</v>
      </c>
      <c r="P232" s="34">
        <f>'[1]Summary for IPSIS'!$AF$177+'[1]Summary for IPSIS'!$AG$177</f>
        <v>1109280</v>
      </c>
      <c r="Q232" s="39">
        <f>'[1]Summary for IPSIS'!$AH$177</f>
        <v>0</v>
      </c>
      <c r="R232" s="39">
        <f t="shared" ref="R232:R237" si="237">SUM(P232:Q232)</f>
        <v>1109280</v>
      </c>
      <c r="S232" s="34">
        <f>'[1]Summary for IPSIS'!$AR$177+'[1]Summary for IPSIS'!$AS$177</f>
        <v>1109280</v>
      </c>
      <c r="T232" s="39">
        <f>'[1]Summary for IPSIS'!$AT$177</f>
        <v>0</v>
      </c>
      <c r="U232" s="39">
        <f t="shared" ref="U232:U237" si="238">SUM(S232:T232)</f>
        <v>1109280</v>
      </c>
      <c r="V232" s="34">
        <f>'[1]Summary for IPSIS'!$BD$177+'[1]Summary for IPSIS'!$BE$177</f>
        <v>1109280</v>
      </c>
      <c r="W232" s="39">
        <f>'[1]Summary for IPSIS'!$BF$177</f>
        <v>0</v>
      </c>
      <c r="X232" s="39">
        <f t="shared" ref="X232:X237" si="239">SUM(V232:W232)</f>
        <v>1109280</v>
      </c>
      <c r="Y232" s="39">
        <f t="shared" ref="Y232:Y237" si="240">J232+M232+P232+S232+V232</f>
        <v>5546400</v>
      </c>
      <c r="Z232" s="39">
        <f t="shared" ref="Z232:Z237" si="241">K232+N232+Q232+T232+W232</f>
        <v>0</v>
      </c>
      <c r="AA232" s="39">
        <f t="shared" ref="AA232:AA237" si="242">SUM(Y232:Z232)</f>
        <v>5546400</v>
      </c>
      <c r="AB232" s="34">
        <f>1109280+1109280+1109280</f>
        <v>3327840</v>
      </c>
      <c r="AC232" s="39">
        <f>0</f>
        <v>0</v>
      </c>
      <c r="AD232" s="39">
        <f t="shared" ref="AD232:AD237" si="243">SUM(AB232:AC232)</f>
        <v>3327840</v>
      </c>
      <c r="AE232" s="34">
        <f>0</f>
        <v>0</v>
      </c>
      <c r="AF232" s="39">
        <f>0</f>
        <v>0</v>
      </c>
      <c r="AG232" s="39"/>
      <c r="AH232" s="39">
        <f t="shared" ref="AH232:AH237" si="244">SUM(AE232:AF232)</f>
        <v>0</v>
      </c>
      <c r="AI232" s="34">
        <f>1109280+1109280</f>
        <v>2218560</v>
      </c>
      <c r="AJ232" s="39">
        <f>0</f>
        <v>0</v>
      </c>
      <c r="AK232" s="39">
        <f t="shared" ref="AK232:AK237" si="245">SUM(AI232:AJ232)</f>
        <v>2218560</v>
      </c>
      <c r="AL232" s="210">
        <f t="shared" si="234"/>
        <v>0</v>
      </c>
    </row>
    <row r="233" spans="2:46" ht="36">
      <c r="B233" s="48" t="s">
        <v>54</v>
      </c>
      <c r="C233" s="186" t="s">
        <v>235</v>
      </c>
      <c r="D233" s="46"/>
      <c r="E233" s="187" t="s">
        <v>713</v>
      </c>
      <c r="F233" s="18" t="s">
        <v>168</v>
      </c>
      <c r="G233" s="19"/>
      <c r="H233" s="200">
        <v>2022</v>
      </c>
      <c r="I233" s="200">
        <v>2023</v>
      </c>
      <c r="J233" s="31">
        <f>'[1]Summary for IPSIS'!$H$178+'[1]Summary for IPSIS'!$I$178</f>
        <v>0</v>
      </c>
      <c r="K233" s="31">
        <f>'[1]Summary for IPSIS'!$J$178</f>
        <v>0</v>
      </c>
      <c r="L233" s="39">
        <f t="shared" si="235"/>
        <v>0</v>
      </c>
      <c r="M233" s="31">
        <f>'[1]Summary for IPSIS'!$T$178+'[1]Summary for IPSIS'!$U$178</f>
        <v>576000</v>
      </c>
      <c r="N233" s="31">
        <f>'[1]Summary for IPSIS'!$V$178</f>
        <v>0</v>
      </c>
      <c r="O233" s="39">
        <f t="shared" si="236"/>
        <v>576000</v>
      </c>
      <c r="P233" s="34">
        <f>'[1]Summary for IPSIS'!$AF$178+'[1]Summary for IPSIS'!$AG$178</f>
        <v>576000</v>
      </c>
      <c r="Q233" s="39">
        <f>'[1]Summary for IPSIS'!$AH$178</f>
        <v>0</v>
      </c>
      <c r="R233" s="39">
        <f t="shared" si="237"/>
        <v>576000</v>
      </c>
      <c r="S233" s="34">
        <f>'[1]Summary for IPSIS'!$AR$178+'[1]Summary for IPSIS'!$AS$178</f>
        <v>0</v>
      </c>
      <c r="T233" s="39">
        <f>'[1]Summary for IPSIS'!$AT$178</f>
        <v>0</v>
      </c>
      <c r="U233" s="39">
        <f t="shared" si="238"/>
        <v>0</v>
      </c>
      <c r="V233" s="34">
        <f>'[1]Summary for IPSIS'!$BD$178+'[1]Summary for IPSIS'!$BE$178</f>
        <v>0</v>
      </c>
      <c r="W233" s="39">
        <f>'[1]Summary for IPSIS'!$BF$178</f>
        <v>0</v>
      </c>
      <c r="X233" s="39">
        <f t="shared" si="239"/>
        <v>0</v>
      </c>
      <c r="Y233" s="39">
        <f t="shared" si="240"/>
        <v>1152000</v>
      </c>
      <c r="Z233" s="39">
        <f t="shared" si="241"/>
        <v>0</v>
      </c>
      <c r="AA233" s="39">
        <f t="shared" si="242"/>
        <v>1152000</v>
      </c>
      <c r="AB233" s="34">
        <f>0</f>
        <v>0</v>
      </c>
      <c r="AC233" s="39">
        <f>0</f>
        <v>0</v>
      </c>
      <c r="AD233" s="39">
        <f t="shared" si="243"/>
        <v>0</v>
      </c>
      <c r="AE233" s="34">
        <f>0</f>
        <v>0</v>
      </c>
      <c r="AF233" s="39">
        <f>0</f>
        <v>0</v>
      </c>
      <c r="AG233" s="39"/>
      <c r="AH233" s="39">
        <f t="shared" si="244"/>
        <v>0</v>
      </c>
      <c r="AI233" s="34">
        <f>0</f>
        <v>0</v>
      </c>
      <c r="AJ233" s="39">
        <f>0</f>
        <v>0</v>
      </c>
      <c r="AK233" s="39">
        <f t="shared" si="245"/>
        <v>0</v>
      </c>
      <c r="AL233" s="210">
        <f t="shared" si="234"/>
        <v>-1152000</v>
      </c>
    </row>
    <row r="234" spans="2:46" ht="39.6" customHeight="1">
      <c r="B234" s="48" t="s">
        <v>231</v>
      </c>
      <c r="C234" s="186" t="s">
        <v>240</v>
      </c>
      <c r="D234" s="46"/>
      <c r="E234" s="187" t="s">
        <v>713</v>
      </c>
      <c r="F234" s="18" t="s">
        <v>168</v>
      </c>
      <c r="G234" s="19"/>
      <c r="H234" s="200">
        <v>2023</v>
      </c>
      <c r="I234" s="200">
        <v>2023</v>
      </c>
      <c r="J234" s="31">
        <f>'[1]Summary for IPSIS'!$H$179+'[1]Summary for IPSIS'!$I$179</f>
        <v>0</v>
      </c>
      <c r="K234" s="31">
        <f>'[1]Summary for IPSIS'!$J$179</f>
        <v>0</v>
      </c>
      <c r="L234" s="39">
        <f t="shared" si="235"/>
        <v>0</v>
      </c>
      <c r="M234" s="31">
        <f>'[1]Summary for IPSIS'!$T$179+'[1]Summary for IPSIS'!$U$179</f>
        <v>0</v>
      </c>
      <c r="N234" s="31">
        <f>'[1]Summary for IPSIS'!$V$179</f>
        <v>0</v>
      </c>
      <c r="O234" s="39">
        <f t="shared" si="236"/>
        <v>0</v>
      </c>
      <c r="P234" s="34">
        <f>'[1]Summary for IPSIS'!$AF$179+'[1]Summary for IPSIS'!$AG$179</f>
        <v>570000</v>
      </c>
      <c r="Q234" s="39">
        <f>'[1]Summary for IPSIS'!$AH$179</f>
        <v>0</v>
      </c>
      <c r="R234" s="39">
        <f t="shared" si="237"/>
        <v>570000</v>
      </c>
      <c r="S234" s="34">
        <f>'[1]Summary for IPSIS'!$AR$179+'[1]Summary for IPSIS'!$AS$179</f>
        <v>0</v>
      </c>
      <c r="T234" s="39">
        <f>'[1]Summary for IPSIS'!$AT$179</f>
        <v>0</v>
      </c>
      <c r="U234" s="39">
        <f t="shared" si="238"/>
        <v>0</v>
      </c>
      <c r="V234" s="34">
        <f>'[1]Summary for IPSIS'!$BD$179+'[1]Summary for IPSIS'!$BE$179</f>
        <v>0</v>
      </c>
      <c r="W234" s="39">
        <f>'[1]Summary for IPSIS'!$BF$179</f>
        <v>0</v>
      </c>
      <c r="X234" s="39">
        <f t="shared" si="239"/>
        <v>0</v>
      </c>
      <c r="Y234" s="39">
        <f t="shared" si="240"/>
        <v>570000</v>
      </c>
      <c r="Z234" s="39">
        <f t="shared" si="241"/>
        <v>0</v>
      </c>
      <c r="AA234" s="39">
        <f t="shared" si="242"/>
        <v>570000</v>
      </c>
      <c r="AB234" s="34">
        <f>0</f>
        <v>0</v>
      </c>
      <c r="AC234" s="39">
        <f>0</f>
        <v>0</v>
      </c>
      <c r="AD234" s="39">
        <f t="shared" si="243"/>
        <v>0</v>
      </c>
      <c r="AE234" s="34">
        <f>0</f>
        <v>0</v>
      </c>
      <c r="AF234" s="39">
        <f>0</f>
        <v>0</v>
      </c>
      <c r="AG234" s="39"/>
      <c r="AH234" s="39">
        <f t="shared" si="244"/>
        <v>0</v>
      </c>
      <c r="AI234" s="34">
        <f>0</f>
        <v>0</v>
      </c>
      <c r="AJ234" s="39">
        <f>0</f>
        <v>0</v>
      </c>
      <c r="AK234" s="39">
        <f t="shared" si="245"/>
        <v>0</v>
      </c>
      <c r="AL234" s="210">
        <f t="shared" si="234"/>
        <v>-570000</v>
      </c>
    </row>
    <row r="235" spans="2:46" ht="28.8" customHeight="1">
      <c r="B235" s="48" t="s">
        <v>232</v>
      </c>
      <c r="C235" s="186" t="s">
        <v>239</v>
      </c>
      <c r="D235" s="46"/>
      <c r="E235" s="187" t="s">
        <v>713</v>
      </c>
      <c r="F235" s="18" t="s">
        <v>168</v>
      </c>
      <c r="G235" s="19"/>
      <c r="H235" s="200">
        <v>2025</v>
      </c>
      <c r="I235" s="200">
        <v>2025</v>
      </c>
      <c r="J235" s="31">
        <f>'[1]Summary for IPSIS'!$H$180+'[1]Summary for IPSIS'!$I$180</f>
        <v>0</v>
      </c>
      <c r="K235" s="31">
        <f>'[1]Summary for IPSIS'!$J$180</f>
        <v>0</v>
      </c>
      <c r="L235" s="39">
        <f t="shared" si="235"/>
        <v>0</v>
      </c>
      <c r="M235" s="31">
        <f>'[1]Summary for IPSIS'!$T$180+'[1]Summary for IPSIS'!$U$180</f>
        <v>0</v>
      </c>
      <c r="N235" s="31">
        <f>'[1]Summary for IPSIS'!$V$180</f>
        <v>0</v>
      </c>
      <c r="O235" s="39">
        <f t="shared" si="236"/>
        <v>0</v>
      </c>
      <c r="P235" s="34">
        <f>'[1]Summary for IPSIS'!$AF$180+'[1]Summary for IPSIS'!$AG$180</f>
        <v>0</v>
      </c>
      <c r="Q235" s="39">
        <f>'[1]Summary for IPSIS'!$AH$180</f>
        <v>0</v>
      </c>
      <c r="R235" s="39">
        <f t="shared" si="237"/>
        <v>0</v>
      </c>
      <c r="S235" s="34">
        <f>'[1]Summary for IPSIS'!$AR$180+'[1]Summary for IPSIS'!$AS$180</f>
        <v>0</v>
      </c>
      <c r="T235" s="39">
        <f>'[1]Summary for IPSIS'!$AT$180</f>
        <v>0</v>
      </c>
      <c r="U235" s="39">
        <f t="shared" si="238"/>
        <v>0</v>
      </c>
      <c r="V235" s="34">
        <f>'[1]Summary for IPSIS'!$BD$180+'[1]Summary for IPSIS'!$BE$180</f>
        <v>5540832</v>
      </c>
      <c r="W235" s="39">
        <f>'[1]Summary for IPSIS'!$BF$180</f>
        <v>11500000</v>
      </c>
      <c r="X235" s="39">
        <f t="shared" si="239"/>
        <v>17040832</v>
      </c>
      <c r="Y235" s="39">
        <f t="shared" si="240"/>
        <v>5540832</v>
      </c>
      <c r="Z235" s="39">
        <f t="shared" si="241"/>
        <v>11500000</v>
      </c>
      <c r="AA235" s="39">
        <f t="shared" si="242"/>
        <v>17040832</v>
      </c>
      <c r="AB235" s="34">
        <f>0</f>
        <v>0</v>
      </c>
      <c r="AC235" s="39">
        <f>0</f>
        <v>0</v>
      </c>
      <c r="AD235" s="39">
        <f t="shared" si="243"/>
        <v>0</v>
      </c>
      <c r="AE235" s="34">
        <f>0</f>
        <v>0</v>
      </c>
      <c r="AF235" s="39">
        <f>0</f>
        <v>0</v>
      </c>
      <c r="AG235" s="39"/>
      <c r="AH235" s="39">
        <f t="shared" si="244"/>
        <v>0</v>
      </c>
      <c r="AI235" s="34">
        <f>5540832</f>
        <v>5540832</v>
      </c>
      <c r="AJ235" s="39">
        <v>11500000</v>
      </c>
      <c r="AK235" s="39">
        <f t="shared" si="245"/>
        <v>17040832</v>
      </c>
      <c r="AL235" s="210">
        <f t="shared" si="234"/>
        <v>0</v>
      </c>
    </row>
    <row r="236" spans="2:46" ht="36">
      <c r="B236" s="48" t="s">
        <v>233</v>
      </c>
      <c r="C236" s="195" t="s">
        <v>238</v>
      </c>
      <c r="D236" s="46"/>
      <c r="E236" s="201" t="s">
        <v>713</v>
      </c>
      <c r="F236" s="18" t="s">
        <v>168</v>
      </c>
      <c r="G236" s="19"/>
      <c r="H236" s="199">
        <v>2025</v>
      </c>
      <c r="I236" s="199">
        <v>2025</v>
      </c>
      <c r="J236" s="31">
        <f>'[1]Summary for IPSIS'!$H$181+'[1]Summary for IPSIS'!$I$181</f>
        <v>0</v>
      </c>
      <c r="K236" s="31">
        <f>'[1]Summary for IPSIS'!$J$181</f>
        <v>0</v>
      </c>
      <c r="L236" s="39">
        <f t="shared" si="235"/>
        <v>0</v>
      </c>
      <c r="M236" s="31">
        <f>'[1]Summary for IPSIS'!$T$181+'[1]Summary for IPSIS'!$U$181</f>
        <v>0</v>
      </c>
      <c r="N236" s="31">
        <f>'[1]Summary for IPSIS'!$V$181</f>
        <v>0</v>
      </c>
      <c r="O236" s="39">
        <f t="shared" si="236"/>
        <v>0</v>
      </c>
      <c r="P236" s="34">
        <f>'[1]Summary for IPSIS'!$AF$181+'[1]Summary for IPSIS'!$AG$181</f>
        <v>0</v>
      </c>
      <c r="Q236" s="39">
        <f>'[1]Summary for IPSIS'!$AH$181</f>
        <v>0</v>
      </c>
      <c r="R236" s="39">
        <f t="shared" si="237"/>
        <v>0</v>
      </c>
      <c r="S236" s="34">
        <f>'[1]Summary for IPSIS'!$AR$181+'[1]Summary for IPSIS'!$AS$181</f>
        <v>0</v>
      </c>
      <c r="T236" s="39">
        <f>'[1]Summary for IPSIS'!$AT$181</f>
        <v>0</v>
      </c>
      <c r="U236" s="39">
        <f t="shared" si="238"/>
        <v>0</v>
      </c>
      <c r="V236" s="34">
        <f>'[1]Summary for IPSIS'!$BD$181+'[1]Summary for IPSIS'!$BE$181</f>
        <v>2321000</v>
      </c>
      <c r="W236" s="39">
        <f>'[1]Summary for IPSIS'!$BF$181</f>
        <v>0</v>
      </c>
      <c r="X236" s="39">
        <f t="shared" si="239"/>
        <v>2321000</v>
      </c>
      <c r="Y236" s="39">
        <f t="shared" si="240"/>
        <v>2321000</v>
      </c>
      <c r="Z236" s="39">
        <f t="shared" si="241"/>
        <v>0</v>
      </c>
      <c r="AA236" s="39">
        <f t="shared" si="242"/>
        <v>2321000</v>
      </c>
      <c r="AB236" s="34">
        <f>0</f>
        <v>0</v>
      </c>
      <c r="AC236" s="39">
        <f>0</f>
        <v>0</v>
      </c>
      <c r="AD236" s="39">
        <f t="shared" si="243"/>
        <v>0</v>
      </c>
      <c r="AE236" s="34">
        <f>0</f>
        <v>0</v>
      </c>
      <c r="AF236" s="39">
        <f>0</f>
        <v>0</v>
      </c>
      <c r="AG236" s="39"/>
      <c r="AH236" s="39">
        <f t="shared" si="244"/>
        <v>0</v>
      </c>
      <c r="AI236" s="34">
        <f>2321000</f>
        <v>2321000</v>
      </c>
      <c r="AJ236" s="39">
        <f>0</f>
        <v>0</v>
      </c>
      <c r="AK236" s="39">
        <f t="shared" si="245"/>
        <v>2321000</v>
      </c>
      <c r="AL236" s="210">
        <f t="shared" si="234"/>
        <v>0</v>
      </c>
    </row>
    <row r="237" spans="2:46" ht="61.8" customHeight="1" thickBot="1">
      <c r="B237" s="233" t="s">
        <v>234</v>
      </c>
      <c r="C237" s="211" t="s">
        <v>241</v>
      </c>
      <c r="D237" s="178"/>
      <c r="E237" s="213" t="s">
        <v>713</v>
      </c>
      <c r="F237" s="91" t="s">
        <v>168</v>
      </c>
      <c r="G237" s="89"/>
      <c r="H237" s="235">
        <v>2023</v>
      </c>
      <c r="I237" s="235">
        <v>2024</v>
      </c>
      <c r="J237" s="215">
        <f>'[1]Summary for IPSIS'!$H$182+'[1]Summary for IPSIS'!$I$182</f>
        <v>0</v>
      </c>
      <c r="K237" s="215">
        <f>'[1]Summary for IPSIS'!$J$182</f>
        <v>0</v>
      </c>
      <c r="L237" s="82">
        <f t="shared" si="235"/>
        <v>0</v>
      </c>
      <c r="M237" s="215">
        <f>'[1]Summary for IPSIS'!$T$182+'[1]Summary for IPSIS'!$U$182</f>
        <v>0</v>
      </c>
      <c r="N237" s="215">
        <f>'[1]Summary for IPSIS'!$V$182</f>
        <v>0</v>
      </c>
      <c r="O237" s="82">
        <f t="shared" si="236"/>
        <v>0</v>
      </c>
      <c r="P237" s="234">
        <f>'[1]Summary for IPSIS'!$AF$182+'[1]Summary for IPSIS'!$AG$182</f>
        <v>588000</v>
      </c>
      <c r="Q237" s="82">
        <f>'[1]Summary for IPSIS'!$AH$182</f>
        <v>0</v>
      </c>
      <c r="R237" s="82">
        <f t="shared" si="237"/>
        <v>588000</v>
      </c>
      <c r="S237" s="234">
        <f>'[1]Summary for IPSIS'!$AR$182+'[1]Summary for IPSIS'!$AS$182</f>
        <v>588000</v>
      </c>
      <c r="T237" s="82">
        <f>'[1]Summary for IPSIS'!$AT$182</f>
        <v>0</v>
      </c>
      <c r="U237" s="82">
        <f t="shared" si="238"/>
        <v>588000</v>
      </c>
      <c r="V237" s="234">
        <f>'[1]Summary for IPSIS'!$BD$182+'[1]Summary for IPSIS'!$BE$182</f>
        <v>0</v>
      </c>
      <c r="W237" s="82">
        <f>'[1]Summary for IPSIS'!$BF$182</f>
        <v>0</v>
      </c>
      <c r="X237" s="82">
        <f t="shared" si="239"/>
        <v>0</v>
      </c>
      <c r="Y237" s="82">
        <f t="shared" si="240"/>
        <v>1176000</v>
      </c>
      <c r="Z237" s="82">
        <f t="shared" si="241"/>
        <v>0</v>
      </c>
      <c r="AA237" s="82">
        <f t="shared" si="242"/>
        <v>1176000</v>
      </c>
      <c r="AB237" s="234">
        <f>0</f>
        <v>0</v>
      </c>
      <c r="AC237" s="82">
        <f>0</f>
        <v>0</v>
      </c>
      <c r="AD237" s="82">
        <f t="shared" si="243"/>
        <v>0</v>
      </c>
      <c r="AE237" s="234">
        <f>0</f>
        <v>0</v>
      </c>
      <c r="AF237" s="82">
        <f>0</f>
        <v>0</v>
      </c>
      <c r="AG237" s="82"/>
      <c r="AH237" s="82">
        <f t="shared" si="244"/>
        <v>0</v>
      </c>
      <c r="AI237" s="234">
        <f>0</f>
        <v>0</v>
      </c>
      <c r="AJ237" s="82">
        <f>0</f>
        <v>0</v>
      </c>
      <c r="AK237" s="82">
        <f t="shared" si="245"/>
        <v>0</v>
      </c>
      <c r="AL237" s="217">
        <f t="shared" si="234"/>
        <v>-1176000</v>
      </c>
    </row>
    <row r="238" spans="2:46" s="6" customFormat="1" ht="26.4" customHeight="1" thickBot="1">
      <c r="B238" s="58"/>
      <c r="C238" s="65" t="s">
        <v>82</v>
      </c>
      <c r="D238" s="66"/>
      <c r="E238" s="66"/>
      <c r="F238" s="56"/>
      <c r="G238" s="56"/>
      <c r="H238" s="56"/>
      <c r="I238" s="56"/>
      <c r="J238" s="57">
        <f t="shared" ref="J238:L238" si="246">SUM(J231:J237)</f>
        <v>3991680</v>
      </c>
      <c r="K238" s="57">
        <f t="shared" si="246"/>
        <v>0</v>
      </c>
      <c r="L238" s="57">
        <f t="shared" si="246"/>
        <v>3991680</v>
      </c>
      <c r="M238" s="57">
        <f t="shared" ref="M238:AB238" si="247">SUM(M231:M237)</f>
        <v>4003200</v>
      </c>
      <c r="N238" s="57">
        <f t="shared" si="247"/>
        <v>0</v>
      </c>
      <c r="O238" s="57">
        <f t="shared" si="247"/>
        <v>4003200</v>
      </c>
      <c r="P238" s="57">
        <f t="shared" si="247"/>
        <v>2843280</v>
      </c>
      <c r="Q238" s="57">
        <f t="shared" si="247"/>
        <v>0</v>
      </c>
      <c r="R238" s="57">
        <f t="shared" si="247"/>
        <v>2843280</v>
      </c>
      <c r="S238" s="57">
        <f t="shared" si="247"/>
        <v>1697280</v>
      </c>
      <c r="T238" s="57">
        <f t="shared" si="247"/>
        <v>0</v>
      </c>
      <c r="U238" s="57">
        <f t="shared" si="247"/>
        <v>1697280</v>
      </c>
      <c r="V238" s="57">
        <f t="shared" si="247"/>
        <v>8971112</v>
      </c>
      <c r="W238" s="57">
        <f t="shared" si="247"/>
        <v>11500000</v>
      </c>
      <c r="X238" s="57">
        <f t="shared" si="247"/>
        <v>20471112</v>
      </c>
      <c r="Y238" s="57">
        <f t="shared" si="247"/>
        <v>21506552</v>
      </c>
      <c r="Z238" s="57">
        <f t="shared" si="247"/>
        <v>11500000</v>
      </c>
      <c r="AA238" s="57">
        <f t="shared" si="247"/>
        <v>33006552</v>
      </c>
      <c r="AB238" s="57">
        <f t="shared" si="247"/>
        <v>7963680</v>
      </c>
      <c r="AC238" s="57">
        <f t="shared" ref="AC238:AL238" si="248">SUM(AC231:AC237)</f>
        <v>0</v>
      </c>
      <c r="AD238" s="57">
        <f t="shared" si="248"/>
        <v>7963680</v>
      </c>
      <c r="AE238" s="57">
        <f t="shared" si="248"/>
        <v>0</v>
      </c>
      <c r="AF238" s="57">
        <f t="shared" si="248"/>
        <v>0</v>
      </c>
      <c r="AG238" s="57"/>
      <c r="AH238" s="57">
        <f t="shared" si="248"/>
        <v>0</v>
      </c>
      <c r="AI238" s="57">
        <f t="shared" si="248"/>
        <v>10080392</v>
      </c>
      <c r="AJ238" s="57">
        <f t="shared" si="248"/>
        <v>11500000</v>
      </c>
      <c r="AK238" s="57">
        <f t="shared" si="248"/>
        <v>21580392</v>
      </c>
      <c r="AL238" s="218">
        <f t="shared" si="248"/>
        <v>-3462480</v>
      </c>
      <c r="AM238" s="36"/>
      <c r="AN238" s="36"/>
      <c r="AO238" s="36"/>
      <c r="AP238" s="36"/>
      <c r="AQ238" s="36"/>
      <c r="AR238" s="36"/>
      <c r="AS238" s="36"/>
      <c r="AT238" s="36"/>
    </row>
    <row r="239" spans="2:46" ht="58.5" customHeight="1">
      <c r="B239" s="161">
        <v>6.2</v>
      </c>
      <c r="C239" s="283" t="s">
        <v>230</v>
      </c>
      <c r="D239" s="284"/>
      <c r="E239" s="208"/>
      <c r="F239" s="75"/>
      <c r="G239" s="75"/>
      <c r="H239" s="81"/>
      <c r="I239" s="81"/>
      <c r="J239" s="80"/>
      <c r="K239" s="80"/>
      <c r="L239" s="78"/>
      <c r="M239" s="80"/>
      <c r="N239" s="80"/>
      <c r="O239" s="78"/>
      <c r="P239" s="80"/>
      <c r="Q239" s="78"/>
      <c r="R239" s="78"/>
      <c r="S239" s="80"/>
      <c r="T239" s="78"/>
      <c r="U239" s="78"/>
      <c r="V239" s="80"/>
      <c r="W239" s="78"/>
      <c r="X239" s="78"/>
      <c r="Y239" s="78"/>
      <c r="Z239" s="78"/>
      <c r="AA239" s="78"/>
      <c r="AB239" s="80"/>
      <c r="AC239" s="78"/>
      <c r="AD239" s="78"/>
      <c r="AE239" s="80"/>
      <c r="AF239" s="78"/>
      <c r="AG239" s="78"/>
      <c r="AH239" s="78"/>
      <c r="AI239" s="80"/>
      <c r="AJ239" s="78"/>
      <c r="AK239" s="78"/>
      <c r="AL239" s="79"/>
    </row>
    <row r="240" spans="2:46" ht="26.4" customHeight="1">
      <c r="B240" s="162"/>
      <c r="C240" s="113" t="s">
        <v>141</v>
      </c>
      <c r="D240" s="60"/>
      <c r="E240" s="60"/>
      <c r="F240" s="18"/>
      <c r="G240" s="18"/>
      <c r="H240" s="15"/>
      <c r="I240" s="15"/>
      <c r="J240" s="34"/>
      <c r="K240" s="34"/>
      <c r="L240" s="39"/>
      <c r="M240" s="34"/>
      <c r="N240" s="34"/>
      <c r="O240" s="39"/>
      <c r="P240" s="34"/>
      <c r="Q240" s="39"/>
      <c r="R240" s="39"/>
      <c r="S240" s="34"/>
      <c r="T240" s="39"/>
      <c r="U240" s="39"/>
      <c r="V240" s="34"/>
      <c r="W240" s="39"/>
      <c r="X240" s="39"/>
      <c r="Y240" s="39"/>
      <c r="Z240" s="39"/>
      <c r="AA240" s="39"/>
      <c r="AB240" s="34"/>
      <c r="AC240" s="39"/>
      <c r="AD240" s="39"/>
      <c r="AE240" s="34"/>
      <c r="AF240" s="39"/>
      <c r="AG240" s="39"/>
      <c r="AH240" s="39"/>
      <c r="AI240" s="34"/>
      <c r="AJ240" s="39"/>
      <c r="AK240" s="39"/>
      <c r="AL240" s="40"/>
    </row>
    <row r="241" spans="2:46" ht="36" customHeight="1">
      <c r="B241" s="48" t="s">
        <v>55</v>
      </c>
      <c r="C241" s="13" t="s">
        <v>252</v>
      </c>
      <c r="D241" s="14"/>
      <c r="E241" s="187" t="s">
        <v>713</v>
      </c>
      <c r="F241" s="18" t="s">
        <v>168</v>
      </c>
      <c r="G241" s="19"/>
      <c r="H241" s="116">
        <v>2023</v>
      </c>
      <c r="I241" s="116">
        <v>2023</v>
      </c>
      <c r="J241" s="31">
        <f>'[1]Summary for IPSIS'!$H$184+'[1]Summary for IPSIS'!$I$184</f>
        <v>0</v>
      </c>
      <c r="K241" s="37">
        <f>'[1]Summary for IPSIS'!$J$184</f>
        <v>0</v>
      </c>
      <c r="L241" s="39">
        <f>SUM(J241:K241)</f>
        <v>0</v>
      </c>
      <c r="M241" s="31">
        <f>'[1]Summary for IPSIS'!$T$184+'[1]Summary for IPSIS'!$U$184</f>
        <v>0</v>
      </c>
      <c r="N241" s="37">
        <f>'[1]Summary for IPSIS'!$V$184</f>
        <v>0</v>
      </c>
      <c r="O241" s="39">
        <f>SUM(M241:N241)</f>
        <v>0</v>
      </c>
      <c r="P241" s="34">
        <f>'[1]Summary for IPSIS'!$AF$184+'[1]Summary for IPSIS'!$AG$184</f>
        <v>547104</v>
      </c>
      <c r="Q241" s="39">
        <f>'[1]Summary for IPSIS'!$AH$184</f>
        <v>0</v>
      </c>
      <c r="R241" s="39">
        <f>SUM(P241:Q241)</f>
        <v>547104</v>
      </c>
      <c r="S241" s="34">
        <f>'[1]Summary for IPSIS'!$AR$184+'[1]Summary for IPSIS'!$AS$184</f>
        <v>547104</v>
      </c>
      <c r="T241" s="39">
        <f>'[1]Summary for IPSIS'!$AT$184</f>
        <v>0</v>
      </c>
      <c r="U241" s="39">
        <f>SUM(S241:T241)</f>
        <v>547104</v>
      </c>
      <c r="V241" s="34">
        <f>'[1]Summary for IPSIS'!$BD$184+'[1]Summary for IPSIS'!$BE$184</f>
        <v>547104</v>
      </c>
      <c r="W241" s="39">
        <f>'[1]Summary for IPSIS'!$BF$184</f>
        <v>0</v>
      </c>
      <c r="X241" s="39">
        <f>SUM(V241:W241)</f>
        <v>547104</v>
      </c>
      <c r="Y241" s="39">
        <f>J241+M241+P241+S241+V241</f>
        <v>1641312</v>
      </c>
      <c r="Z241" s="39">
        <f>K241+N241+Q241+T241+W241</f>
        <v>0</v>
      </c>
      <c r="AA241" s="39">
        <f>SUM(Y241:Z241)</f>
        <v>1641312</v>
      </c>
      <c r="AB241" s="34">
        <f>547104</f>
        <v>547104</v>
      </c>
      <c r="AC241" s="39">
        <f>0</f>
        <v>0</v>
      </c>
      <c r="AD241" s="39">
        <f>SUM(AB241:AC241)</f>
        <v>547104</v>
      </c>
      <c r="AE241" s="34">
        <f>0</f>
        <v>0</v>
      </c>
      <c r="AF241" s="39">
        <f>0</f>
        <v>0</v>
      </c>
      <c r="AG241" s="39"/>
      <c r="AH241" s="39">
        <f>SUM(AE241:AF241)</f>
        <v>0</v>
      </c>
      <c r="AI241" s="34">
        <f>547104+547104</f>
        <v>1094208</v>
      </c>
      <c r="AJ241" s="39">
        <f>0</f>
        <v>0</v>
      </c>
      <c r="AK241" s="39">
        <f>SUM(AI241:AJ241)</f>
        <v>1094208</v>
      </c>
      <c r="AL241" s="210">
        <f t="shared" ref="AL241:AL253" si="249">SUM(AK241+AH241+AD241)-AA241</f>
        <v>0</v>
      </c>
    </row>
    <row r="242" spans="2:46" ht="36">
      <c r="B242" s="48" t="s">
        <v>56</v>
      </c>
      <c r="C242" s="13" t="s">
        <v>253</v>
      </c>
      <c r="D242" s="14"/>
      <c r="E242" s="187" t="s">
        <v>714</v>
      </c>
      <c r="F242" s="18" t="s">
        <v>168</v>
      </c>
      <c r="G242" s="19"/>
      <c r="H242" s="114">
        <v>2021</v>
      </c>
      <c r="I242" s="114">
        <v>2025</v>
      </c>
      <c r="J242" s="31">
        <f>'[1]Summary for IPSIS'!$H$185+'[1]Summary for IPSIS'!$I$185</f>
        <v>300000</v>
      </c>
      <c r="K242" s="37">
        <f>'[1]Summary for IPSIS'!$J$185</f>
        <v>0</v>
      </c>
      <c r="L242" s="39">
        <f t="shared" ref="L242:L253" si="250">SUM(J242:K242)</f>
        <v>300000</v>
      </c>
      <c r="M242" s="31">
        <f>'[1]Summary for IPSIS'!$T$185+'[1]Summary for IPSIS'!$U$185</f>
        <v>300000</v>
      </c>
      <c r="N242" s="37">
        <f>'[1]Summary for IPSIS'!$V$185</f>
        <v>0</v>
      </c>
      <c r="O242" s="39">
        <f t="shared" ref="O242:O253" si="251">SUM(M242:N242)</f>
        <v>300000</v>
      </c>
      <c r="P242" s="34">
        <f>'[1]Summary for IPSIS'!$AF$185+'[1]Summary for IPSIS'!$AG$185</f>
        <v>300000</v>
      </c>
      <c r="Q242" s="39">
        <f>'[1]Summary for IPSIS'!$AH$185</f>
        <v>0</v>
      </c>
      <c r="R242" s="39">
        <f t="shared" ref="R242:R253" si="252">SUM(P242:Q242)</f>
        <v>300000</v>
      </c>
      <c r="S242" s="34">
        <f>'[1]Summary for IPSIS'!$AR$185+'[1]Summary for IPSIS'!$AS$185</f>
        <v>300000</v>
      </c>
      <c r="T242" s="39">
        <f>'[1]Summary for IPSIS'!$AT$185</f>
        <v>0</v>
      </c>
      <c r="U242" s="39">
        <f t="shared" ref="U242:U253" si="253">SUM(S242:T242)</f>
        <v>300000</v>
      </c>
      <c r="V242" s="34">
        <f>'[1]Summary for IPSIS'!$BD$185+'[1]Summary for IPSIS'!$BE$185</f>
        <v>300000</v>
      </c>
      <c r="W242" s="39">
        <f>'[1]Summary for IPSIS'!$BF$185</f>
        <v>0</v>
      </c>
      <c r="X242" s="39">
        <f t="shared" ref="X242:X253" si="254">SUM(V242:W242)</f>
        <v>300000</v>
      </c>
      <c r="Y242" s="39">
        <f t="shared" ref="Y242:Y253" si="255">J242+M242+P242+S242+V242</f>
        <v>1500000</v>
      </c>
      <c r="Z242" s="39">
        <f t="shared" ref="Z242:Z253" si="256">K242+N242+Q242+T242+W242</f>
        <v>0</v>
      </c>
      <c r="AA242" s="39">
        <f t="shared" ref="AA242:AA253" si="257">SUM(Y242:Z242)</f>
        <v>1500000</v>
      </c>
      <c r="AB242" s="34">
        <f>0</f>
        <v>0</v>
      </c>
      <c r="AC242" s="39">
        <f>0</f>
        <v>0</v>
      </c>
      <c r="AD242" s="39">
        <f t="shared" ref="AD242:AD253" si="258">SUM(AB242:AC242)</f>
        <v>0</v>
      </c>
      <c r="AE242" s="34">
        <f>0</f>
        <v>0</v>
      </c>
      <c r="AF242" s="39">
        <f>0</f>
        <v>0</v>
      </c>
      <c r="AG242" s="39"/>
      <c r="AH242" s="39">
        <f t="shared" ref="AH242:AH253" si="259">SUM(AE242:AF242)</f>
        <v>0</v>
      </c>
      <c r="AI242" s="34">
        <f>300000+300000</f>
        <v>600000</v>
      </c>
      <c r="AJ242" s="39">
        <f>0</f>
        <v>0</v>
      </c>
      <c r="AK242" s="39">
        <f t="shared" ref="AK242:AK253" si="260">SUM(AI242:AJ242)</f>
        <v>600000</v>
      </c>
      <c r="AL242" s="210">
        <f t="shared" si="249"/>
        <v>-900000</v>
      </c>
    </row>
    <row r="243" spans="2:46" ht="36">
      <c r="B243" s="48" t="s">
        <v>57</v>
      </c>
      <c r="C243" s="13" t="s">
        <v>254</v>
      </c>
      <c r="D243" s="14"/>
      <c r="E243" s="189" t="s">
        <v>713</v>
      </c>
      <c r="F243" s="18" t="s">
        <v>168</v>
      </c>
      <c r="G243" s="19"/>
      <c r="H243" s="114">
        <v>2021</v>
      </c>
      <c r="I243" s="114">
        <v>2025</v>
      </c>
      <c r="J243" s="31">
        <f>'[1]Summary for IPSIS'!$H$186+'[1]Summary for IPSIS'!$I$186</f>
        <v>408000</v>
      </c>
      <c r="K243" s="37">
        <f>'[1]Summary for IPSIS'!$J$186</f>
        <v>0</v>
      </c>
      <c r="L243" s="39">
        <f t="shared" si="250"/>
        <v>408000</v>
      </c>
      <c r="M243" s="31">
        <f>'[1]Summary for IPSIS'!$T$186+'[1]Summary for IPSIS'!$U$186</f>
        <v>408000</v>
      </c>
      <c r="N243" s="37">
        <f>'[1]Summary for IPSIS'!$V$186</f>
        <v>0</v>
      </c>
      <c r="O243" s="39">
        <f t="shared" si="251"/>
        <v>408000</v>
      </c>
      <c r="P243" s="34">
        <f>'[1]Summary for IPSIS'!$AF$186+'[1]Summary for IPSIS'!$AG$186</f>
        <v>408000</v>
      </c>
      <c r="Q243" s="39">
        <f>'[1]Summary for IPSIS'!$AH$186</f>
        <v>0</v>
      </c>
      <c r="R243" s="39">
        <f t="shared" si="252"/>
        <v>408000</v>
      </c>
      <c r="S243" s="34">
        <f>'[1]Summary for IPSIS'!$AR$186+'[1]Summary for IPSIS'!$AS$186</f>
        <v>408000</v>
      </c>
      <c r="T243" s="39">
        <f>'[1]Summary for IPSIS'!$AT$186</f>
        <v>0</v>
      </c>
      <c r="U243" s="39">
        <f t="shared" si="253"/>
        <v>408000</v>
      </c>
      <c r="V243" s="34">
        <f>'[1]Summary for IPSIS'!$BD$186+'[1]Summary for IPSIS'!$BE$186</f>
        <v>408000</v>
      </c>
      <c r="W243" s="39">
        <f>'[1]Summary for IPSIS'!$BF$186</f>
        <v>0</v>
      </c>
      <c r="X243" s="39">
        <f t="shared" si="254"/>
        <v>408000</v>
      </c>
      <c r="Y243" s="39">
        <f t="shared" si="255"/>
        <v>2040000</v>
      </c>
      <c r="Z243" s="39">
        <f t="shared" si="256"/>
        <v>0</v>
      </c>
      <c r="AA243" s="39">
        <f t="shared" si="257"/>
        <v>2040000</v>
      </c>
      <c r="AB243" s="34">
        <f>0</f>
        <v>0</v>
      </c>
      <c r="AC243" s="39">
        <f>0</f>
        <v>0</v>
      </c>
      <c r="AD243" s="39">
        <f t="shared" si="258"/>
        <v>0</v>
      </c>
      <c r="AE243" s="34">
        <f>0</f>
        <v>0</v>
      </c>
      <c r="AF243" s="39">
        <f>0</f>
        <v>0</v>
      </c>
      <c r="AG243" s="39"/>
      <c r="AH243" s="39">
        <f t="shared" si="259"/>
        <v>0</v>
      </c>
      <c r="AI243" s="34">
        <f>816000</f>
        <v>816000</v>
      </c>
      <c r="AJ243" s="39">
        <f>0</f>
        <v>0</v>
      </c>
      <c r="AK243" s="39">
        <f t="shared" si="260"/>
        <v>816000</v>
      </c>
      <c r="AL243" s="210">
        <f t="shared" si="249"/>
        <v>-1224000</v>
      </c>
    </row>
    <row r="244" spans="2:46" ht="49.2" customHeight="1">
      <c r="B244" s="48" t="s">
        <v>242</v>
      </c>
      <c r="C244" s="13" t="s">
        <v>255</v>
      </c>
      <c r="D244" s="14"/>
      <c r="E244" s="187" t="s">
        <v>714</v>
      </c>
      <c r="F244" s="18" t="s">
        <v>168</v>
      </c>
      <c r="G244" s="19"/>
      <c r="H244" s="114">
        <v>2021</v>
      </c>
      <c r="I244" s="114">
        <v>2025</v>
      </c>
      <c r="J244" s="31">
        <f>'[1]Summary for IPSIS'!$H$187+'[1]Summary for IPSIS'!$I$187</f>
        <v>420000</v>
      </c>
      <c r="K244" s="37">
        <f>'[1]Summary for IPSIS'!$J$187</f>
        <v>0</v>
      </c>
      <c r="L244" s="39">
        <f t="shared" si="250"/>
        <v>420000</v>
      </c>
      <c r="M244" s="31">
        <f>'[1]Summary for IPSIS'!$T$187+'[1]Summary for IPSIS'!$U$187</f>
        <v>420000</v>
      </c>
      <c r="N244" s="37">
        <f>'[1]Summary for IPSIS'!$V$187</f>
        <v>0</v>
      </c>
      <c r="O244" s="39">
        <f t="shared" si="251"/>
        <v>420000</v>
      </c>
      <c r="P244" s="34">
        <f>'[1]Summary for IPSIS'!$AF$187+'[1]Summary for IPSIS'!$AG$187</f>
        <v>420000</v>
      </c>
      <c r="Q244" s="39">
        <f>'[1]Summary for IPSIS'!$AH$187</f>
        <v>0</v>
      </c>
      <c r="R244" s="39">
        <f t="shared" si="252"/>
        <v>420000</v>
      </c>
      <c r="S244" s="34">
        <f>'[1]Summary for IPSIS'!$AR$187+'[1]Summary for IPSIS'!$AS$187</f>
        <v>420000</v>
      </c>
      <c r="T244" s="39">
        <f>'[1]Summary for IPSIS'!$AT$187</f>
        <v>0</v>
      </c>
      <c r="U244" s="39">
        <f t="shared" si="253"/>
        <v>420000</v>
      </c>
      <c r="V244" s="34">
        <f>'[1]Summary for IPSIS'!$BD$187+'[1]Summary for IPSIS'!$BE$187</f>
        <v>420000</v>
      </c>
      <c r="W244" s="39">
        <f>'[1]Summary for IPSIS'!$BF$187</f>
        <v>0</v>
      </c>
      <c r="X244" s="39">
        <f t="shared" si="254"/>
        <v>420000</v>
      </c>
      <c r="Y244" s="39">
        <f t="shared" si="255"/>
        <v>2100000</v>
      </c>
      <c r="Z244" s="39">
        <f t="shared" si="256"/>
        <v>0</v>
      </c>
      <c r="AA244" s="39">
        <f t="shared" si="257"/>
        <v>2100000</v>
      </c>
      <c r="AB244" s="34">
        <f>0</f>
        <v>0</v>
      </c>
      <c r="AC244" s="39">
        <f>0</f>
        <v>0</v>
      </c>
      <c r="AD244" s="39">
        <f t="shared" si="258"/>
        <v>0</v>
      </c>
      <c r="AE244" s="34">
        <f>0</f>
        <v>0</v>
      </c>
      <c r="AF244" s="39">
        <f>0</f>
        <v>0</v>
      </c>
      <c r="AG244" s="39"/>
      <c r="AH244" s="39">
        <f t="shared" si="259"/>
        <v>0</v>
      </c>
      <c r="AI244" s="34">
        <f>420000+420000</f>
        <v>840000</v>
      </c>
      <c r="AJ244" s="39">
        <f>0</f>
        <v>0</v>
      </c>
      <c r="AK244" s="39">
        <f t="shared" si="260"/>
        <v>840000</v>
      </c>
      <c r="AL244" s="210">
        <f t="shared" si="249"/>
        <v>-1260000</v>
      </c>
    </row>
    <row r="245" spans="2:46" ht="36" customHeight="1">
      <c r="B245" s="48" t="s">
        <v>243</v>
      </c>
      <c r="C245" s="13" t="s">
        <v>256</v>
      </c>
      <c r="D245" s="14"/>
      <c r="E245" s="187" t="s">
        <v>715</v>
      </c>
      <c r="F245" s="18" t="s">
        <v>168</v>
      </c>
      <c r="G245" s="19"/>
      <c r="H245" s="114">
        <v>2021</v>
      </c>
      <c r="I245" s="114">
        <v>2025</v>
      </c>
      <c r="J245" s="31">
        <f>'[1]Summary for IPSIS'!$H$188+'[1]Summary for IPSIS'!$I$188</f>
        <v>252000</v>
      </c>
      <c r="K245" s="37">
        <f>'[1]Summary for IPSIS'!$J$188</f>
        <v>0</v>
      </c>
      <c r="L245" s="39">
        <f t="shared" si="250"/>
        <v>252000</v>
      </c>
      <c r="M245" s="31">
        <f>'[1]Summary for IPSIS'!$T$188+'[1]Summary for IPSIS'!$U$188</f>
        <v>252000</v>
      </c>
      <c r="N245" s="37">
        <f>'[1]Summary for IPSIS'!$V$188</f>
        <v>0</v>
      </c>
      <c r="O245" s="39">
        <f t="shared" si="251"/>
        <v>252000</v>
      </c>
      <c r="P245" s="34">
        <f>'[1]Summary for IPSIS'!$AF$188+'[1]Summary for IPSIS'!$AG$188</f>
        <v>252000</v>
      </c>
      <c r="Q245" s="39">
        <f>'[1]Summary for IPSIS'!$AH$188</f>
        <v>0</v>
      </c>
      <c r="R245" s="39">
        <f t="shared" si="252"/>
        <v>252000</v>
      </c>
      <c r="S245" s="34">
        <f>'[1]Summary for IPSIS'!$AR$188+'[1]Summary for IPSIS'!$AS$188</f>
        <v>252000</v>
      </c>
      <c r="T245" s="39">
        <f>'[1]Summary for IPSIS'!$AT$188</f>
        <v>0</v>
      </c>
      <c r="U245" s="39">
        <f t="shared" si="253"/>
        <v>252000</v>
      </c>
      <c r="V245" s="34">
        <f>'[1]Summary for IPSIS'!$BD$188+'[1]Summary for IPSIS'!$BE$188</f>
        <v>252000</v>
      </c>
      <c r="W245" s="39">
        <f>'[1]Summary for IPSIS'!$BF$188</f>
        <v>0</v>
      </c>
      <c r="X245" s="39">
        <f t="shared" si="254"/>
        <v>252000</v>
      </c>
      <c r="Y245" s="39">
        <f t="shared" si="255"/>
        <v>1260000</v>
      </c>
      <c r="Z245" s="39">
        <f t="shared" si="256"/>
        <v>0</v>
      </c>
      <c r="AA245" s="39">
        <f t="shared" si="257"/>
        <v>1260000</v>
      </c>
      <c r="AB245" s="34">
        <f>0</f>
        <v>0</v>
      </c>
      <c r="AC245" s="39">
        <f>0</f>
        <v>0</v>
      </c>
      <c r="AD245" s="39">
        <f t="shared" si="258"/>
        <v>0</v>
      </c>
      <c r="AE245" s="34">
        <f>0</f>
        <v>0</v>
      </c>
      <c r="AF245" s="39">
        <f>0</f>
        <v>0</v>
      </c>
      <c r="AG245" s="39"/>
      <c r="AH245" s="39">
        <f t="shared" si="259"/>
        <v>0</v>
      </c>
      <c r="AI245" s="34">
        <f>0</f>
        <v>0</v>
      </c>
      <c r="AJ245" s="39">
        <f>0</f>
        <v>0</v>
      </c>
      <c r="AK245" s="39">
        <f t="shared" si="260"/>
        <v>0</v>
      </c>
      <c r="AL245" s="210">
        <f t="shared" si="249"/>
        <v>-1260000</v>
      </c>
    </row>
    <row r="246" spans="2:46" ht="36">
      <c r="B246" s="48" t="s">
        <v>244</v>
      </c>
      <c r="C246" s="13" t="s">
        <v>257</v>
      </c>
      <c r="D246" s="14"/>
      <c r="E246" s="187" t="s">
        <v>713</v>
      </c>
      <c r="F246" s="18" t="s">
        <v>168</v>
      </c>
      <c r="G246" s="19"/>
      <c r="H246" s="114">
        <v>2023</v>
      </c>
      <c r="I246" s="114">
        <v>2023</v>
      </c>
      <c r="J246" s="31">
        <f>'[1]Summary for IPSIS'!$H$189+'[1]Summary for IPSIS'!$I$189</f>
        <v>0</v>
      </c>
      <c r="K246" s="37">
        <f>'[1]Summary for IPSIS'!$J$189</f>
        <v>0</v>
      </c>
      <c r="L246" s="39">
        <f t="shared" si="250"/>
        <v>0</v>
      </c>
      <c r="M246" s="31">
        <f>'[1]Summary for IPSIS'!$T$189+'[1]Summary for IPSIS'!$U$189</f>
        <v>0</v>
      </c>
      <c r="N246" s="37">
        <f>'[1]Summary for IPSIS'!$V$189</f>
        <v>0</v>
      </c>
      <c r="O246" s="39">
        <f t="shared" si="251"/>
        <v>0</v>
      </c>
      <c r="P246" s="34">
        <f>'[1]Summary for IPSIS'!$AF$189+'[1]Summary for IPSIS'!$AG$189</f>
        <v>456000</v>
      </c>
      <c r="Q246" s="39">
        <f>'[1]Summary for IPSIS'!$AH$189</f>
        <v>0</v>
      </c>
      <c r="R246" s="39">
        <f t="shared" si="252"/>
        <v>456000</v>
      </c>
      <c r="S246" s="34">
        <f>'[1]Summary for IPSIS'!$AR$189+'[1]Summary for IPSIS'!$AS$189</f>
        <v>0</v>
      </c>
      <c r="T246" s="39">
        <f>'[1]Summary for IPSIS'!$AT$189</f>
        <v>0</v>
      </c>
      <c r="U246" s="39">
        <f t="shared" si="253"/>
        <v>0</v>
      </c>
      <c r="V246" s="34">
        <f>'[1]Summary for IPSIS'!$BD$189+'[1]Summary for IPSIS'!$BE$189</f>
        <v>0</v>
      </c>
      <c r="W246" s="39">
        <f>'[1]Summary for IPSIS'!$BF$189</f>
        <v>0</v>
      </c>
      <c r="X246" s="39">
        <f t="shared" si="254"/>
        <v>0</v>
      </c>
      <c r="Y246" s="39">
        <f t="shared" si="255"/>
        <v>456000</v>
      </c>
      <c r="Z246" s="39">
        <f t="shared" si="256"/>
        <v>0</v>
      </c>
      <c r="AA246" s="39">
        <f t="shared" si="257"/>
        <v>456000</v>
      </c>
      <c r="AB246" s="34">
        <f>0</f>
        <v>0</v>
      </c>
      <c r="AC246" s="39">
        <f>0</f>
        <v>0</v>
      </c>
      <c r="AD246" s="39">
        <f t="shared" si="258"/>
        <v>0</v>
      </c>
      <c r="AE246" s="34">
        <f>0</f>
        <v>0</v>
      </c>
      <c r="AF246" s="39">
        <f>0</f>
        <v>0</v>
      </c>
      <c r="AG246" s="39"/>
      <c r="AH246" s="39">
        <f t="shared" si="259"/>
        <v>0</v>
      </c>
      <c r="AI246" s="34">
        <f>0</f>
        <v>0</v>
      </c>
      <c r="AJ246" s="39">
        <f>0</f>
        <v>0</v>
      </c>
      <c r="AK246" s="39">
        <f t="shared" si="260"/>
        <v>0</v>
      </c>
      <c r="AL246" s="210">
        <f t="shared" si="249"/>
        <v>-456000</v>
      </c>
    </row>
    <row r="247" spans="2:46" ht="36">
      <c r="B247" s="48" t="s">
        <v>245</v>
      </c>
      <c r="C247" s="13" t="s">
        <v>258</v>
      </c>
      <c r="D247" s="14"/>
      <c r="E247" s="187" t="s">
        <v>429</v>
      </c>
      <c r="F247" s="18" t="s">
        <v>168</v>
      </c>
      <c r="G247" s="19"/>
      <c r="H247" s="114">
        <v>2022</v>
      </c>
      <c r="I247" s="114">
        <v>2025</v>
      </c>
      <c r="J247" s="31">
        <f>'[1]Summary for IPSIS'!$H$190+'[1]Summary for IPSIS'!$I$190</f>
        <v>0</v>
      </c>
      <c r="K247" s="37">
        <f>'[1]Summary for IPSIS'!$J$190</f>
        <v>0</v>
      </c>
      <c r="L247" s="39">
        <f t="shared" si="250"/>
        <v>0</v>
      </c>
      <c r="M247" s="31">
        <f>'[1]Summary for IPSIS'!$T$190+'[1]Summary for IPSIS'!$U$190</f>
        <v>0</v>
      </c>
      <c r="N247" s="37">
        <f>'[1]Summary for IPSIS'!$V$190</f>
        <v>17250000</v>
      </c>
      <c r="O247" s="39">
        <f t="shared" si="251"/>
        <v>17250000</v>
      </c>
      <c r="P247" s="34">
        <f>'[1]Summary for IPSIS'!$AF$190+'[1]Summary for IPSIS'!$AG$190</f>
        <v>0</v>
      </c>
      <c r="Q247" s="39">
        <f>'[1]Summary for IPSIS'!$AH$190</f>
        <v>17250000</v>
      </c>
      <c r="R247" s="39">
        <f t="shared" si="252"/>
        <v>17250000</v>
      </c>
      <c r="S247" s="34">
        <f>'[1]Summary for IPSIS'!$AR$190+'[1]Summary for IPSIS'!$AS$190</f>
        <v>0</v>
      </c>
      <c r="T247" s="39">
        <f>'[1]Summary for IPSIS'!$AT$190</f>
        <v>17250000</v>
      </c>
      <c r="U247" s="39">
        <f t="shared" si="253"/>
        <v>17250000</v>
      </c>
      <c r="V247" s="34">
        <f>'[1]Summary for IPSIS'!$BD$190+'[1]Summary for IPSIS'!$BE$190</f>
        <v>0</v>
      </c>
      <c r="W247" s="39">
        <f>'[1]Summary for IPSIS'!$BF$190</f>
        <v>17250000</v>
      </c>
      <c r="X247" s="39">
        <f t="shared" si="254"/>
        <v>17250000</v>
      </c>
      <c r="Y247" s="39">
        <f t="shared" si="255"/>
        <v>0</v>
      </c>
      <c r="Z247" s="39">
        <f t="shared" si="256"/>
        <v>69000000</v>
      </c>
      <c r="AA247" s="39">
        <f t="shared" si="257"/>
        <v>69000000</v>
      </c>
      <c r="AB247" s="34">
        <f>0</f>
        <v>0</v>
      </c>
      <c r="AC247" s="39">
        <f>17250000+17250000</f>
        <v>34500000</v>
      </c>
      <c r="AD247" s="39">
        <f t="shared" si="258"/>
        <v>34500000</v>
      </c>
      <c r="AE247" s="34">
        <f>0</f>
        <v>0</v>
      </c>
      <c r="AF247" s="39">
        <f>0</f>
        <v>0</v>
      </c>
      <c r="AG247" s="39"/>
      <c r="AH247" s="39">
        <f t="shared" si="259"/>
        <v>0</v>
      </c>
      <c r="AI247" s="34">
        <f>17250000+17250000</f>
        <v>34500000</v>
      </c>
      <c r="AJ247" s="39">
        <f>0</f>
        <v>0</v>
      </c>
      <c r="AK247" s="39">
        <f t="shared" si="260"/>
        <v>34500000</v>
      </c>
      <c r="AL247" s="210">
        <f t="shared" si="249"/>
        <v>0</v>
      </c>
    </row>
    <row r="248" spans="2:46" ht="54" customHeight="1">
      <c r="B248" s="48" t="s">
        <v>246</v>
      </c>
      <c r="C248" s="13" t="s">
        <v>259</v>
      </c>
      <c r="D248" s="14"/>
      <c r="E248" s="187" t="s">
        <v>713</v>
      </c>
      <c r="F248" s="18" t="s">
        <v>168</v>
      </c>
      <c r="G248" s="19"/>
      <c r="H248" s="114">
        <v>2022</v>
      </c>
      <c r="I248" s="114">
        <v>2023</v>
      </c>
      <c r="J248" s="31">
        <f>'[1]Summary for IPSIS'!$H$191+'[1]Summary for IPSIS'!$I$191</f>
        <v>0</v>
      </c>
      <c r="K248" s="37">
        <f>'[1]Summary for IPSIS'!$J$191</f>
        <v>0</v>
      </c>
      <c r="L248" s="39">
        <f t="shared" si="250"/>
        <v>0</v>
      </c>
      <c r="M248" s="31">
        <f>'[1]Summary for IPSIS'!$T$191+'[1]Summary for IPSIS'!$U$191</f>
        <v>588000</v>
      </c>
      <c r="N248" s="37">
        <f>'[1]Summary for IPSIS'!$V$191</f>
        <v>0</v>
      </c>
      <c r="O248" s="39">
        <f t="shared" si="251"/>
        <v>588000</v>
      </c>
      <c r="P248" s="34">
        <f>'[1]Summary for IPSIS'!$AF$191+'[1]Summary for IPSIS'!$AG$191</f>
        <v>904800</v>
      </c>
      <c r="Q248" s="39">
        <f>'[1]Summary for IPSIS'!$AH$191</f>
        <v>0</v>
      </c>
      <c r="R248" s="39">
        <f t="shared" si="252"/>
        <v>904800</v>
      </c>
      <c r="S248" s="34">
        <f>'[1]Summary for IPSIS'!$AR$191+'[1]Summary for IPSIS'!$AS$191</f>
        <v>0</v>
      </c>
      <c r="T248" s="39">
        <f>'[1]Summary for IPSIS'!$AT$191</f>
        <v>0</v>
      </c>
      <c r="U248" s="39">
        <f t="shared" si="253"/>
        <v>0</v>
      </c>
      <c r="V248" s="34">
        <f>'[1]Summary for IPSIS'!$BD$191+'[1]Summary for IPSIS'!$BE$191</f>
        <v>0</v>
      </c>
      <c r="W248" s="39">
        <f>'[1]Summary for IPSIS'!$BF$191</f>
        <v>0</v>
      </c>
      <c r="X248" s="39">
        <f t="shared" si="254"/>
        <v>0</v>
      </c>
      <c r="Y248" s="39">
        <f t="shared" si="255"/>
        <v>1492800</v>
      </c>
      <c r="Z248" s="39">
        <f t="shared" si="256"/>
        <v>0</v>
      </c>
      <c r="AA248" s="39">
        <f t="shared" si="257"/>
        <v>1492800</v>
      </c>
      <c r="AB248" s="34">
        <f>0</f>
        <v>0</v>
      </c>
      <c r="AC248" s="39">
        <f>0</f>
        <v>0</v>
      </c>
      <c r="AD248" s="39">
        <f t="shared" si="258"/>
        <v>0</v>
      </c>
      <c r="AE248" s="34">
        <f>0</f>
        <v>0</v>
      </c>
      <c r="AF248" s="39">
        <f>0</f>
        <v>0</v>
      </c>
      <c r="AG248" s="39"/>
      <c r="AH248" s="39">
        <f t="shared" si="259"/>
        <v>0</v>
      </c>
      <c r="AI248" s="34">
        <f>0</f>
        <v>0</v>
      </c>
      <c r="AJ248" s="39">
        <f>0</f>
        <v>0</v>
      </c>
      <c r="AK248" s="39">
        <f t="shared" si="260"/>
        <v>0</v>
      </c>
      <c r="AL248" s="210">
        <f t="shared" si="249"/>
        <v>-1492800</v>
      </c>
    </row>
    <row r="249" spans="2:46" ht="36">
      <c r="B249" s="48" t="s">
        <v>247</v>
      </c>
      <c r="C249" s="13" t="s">
        <v>260</v>
      </c>
      <c r="D249" s="14"/>
      <c r="E249" s="187" t="s">
        <v>713</v>
      </c>
      <c r="F249" s="18" t="s">
        <v>168</v>
      </c>
      <c r="G249" s="19"/>
      <c r="H249" s="114">
        <v>2022</v>
      </c>
      <c r="I249" s="114">
        <v>2023</v>
      </c>
      <c r="J249" s="31">
        <f>'[1]Summary for IPSIS'!$H$192+'[1]Summary for IPSIS'!$I$192</f>
        <v>0</v>
      </c>
      <c r="K249" s="37">
        <f>'[1]Summary for IPSIS'!$J$192</f>
        <v>0</v>
      </c>
      <c r="L249" s="39">
        <f t="shared" si="250"/>
        <v>0</v>
      </c>
      <c r="M249" s="31">
        <f>'[1]Summary for IPSIS'!$T$192+'[1]Summary for IPSIS'!$U$192</f>
        <v>204880</v>
      </c>
      <c r="N249" s="37">
        <f>'[1]Summary for IPSIS'!$V$192</f>
        <v>0</v>
      </c>
      <c r="O249" s="39">
        <f t="shared" si="251"/>
        <v>204880</v>
      </c>
      <c r="P249" s="34">
        <f>'[1]Summary for IPSIS'!$AF$192+'[1]Summary for IPSIS'!$AG$192</f>
        <v>204880</v>
      </c>
      <c r="Q249" s="39">
        <f>'[1]Summary for IPSIS'!$AH$192</f>
        <v>0</v>
      </c>
      <c r="R249" s="39">
        <f t="shared" si="252"/>
        <v>204880</v>
      </c>
      <c r="S249" s="34">
        <f>'[1]Summary for IPSIS'!$AR$192+'[1]Summary for IPSIS'!$AS$192</f>
        <v>0</v>
      </c>
      <c r="T249" s="39">
        <f>'[1]Summary for IPSIS'!$AT$192</f>
        <v>0</v>
      </c>
      <c r="U249" s="39">
        <f t="shared" si="253"/>
        <v>0</v>
      </c>
      <c r="V249" s="34">
        <f>'[1]Summary for IPSIS'!$BD$192+'[1]Summary for IPSIS'!$BE$192</f>
        <v>0</v>
      </c>
      <c r="W249" s="39">
        <f>'[1]Summary for IPSIS'!$BF$192</f>
        <v>0</v>
      </c>
      <c r="X249" s="39">
        <f t="shared" si="254"/>
        <v>0</v>
      </c>
      <c r="Y249" s="39">
        <f t="shared" si="255"/>
        <v>409760</v>
      </c>
      <c r="Z249" s="39">
        <f t="shared" si="256"/>
        <v>0</v>
      </c>
      <c r="AA249" s="39">
        <f t="shared" si="257"/>
        <v>409760</v>
      </c>
      <c r="AB249" s="34">
        <f>204880+204880</f>
        <v>409760</v>
      </c>
      <c r="AC249" s="39">
        <f>0</f>
        <v>0</v>
      </c>
      <c r="AD249" s="39">
        <f t="shared" si="258"/>
        <v>409760</v>
      </c>
      <c r="AE249" s="34">
        <f>0</f>
        <v>0</v>
      </c>
      <c r="AF249" s="39">
        <f>0</f>
        <v>0</v>
      </c>
      <c r="AG249" s="39"/>
      <c r="AH249" s="39">
        <f t="shared" si="259"/>
        <v>0</v>
      </c>
      <c r="AI249" s="34">
        <f>0</f>
        <v>0</v>
      </c>
      <c r="AJ249" s="39">
        <f>0</f>
        <v>0</v>
      </c>
      <c r="AK249" s="39">
        <f t="shared" si="260"/>
        <v>0</v>
      </c>
      <c r="AL249" s="210">
        <f t="shared" si="249"/>
        <v>0</v>
      </c>
    </row>
    <row r="250" spans="2:46" ht="48">
      <c r="B250" s="48" t="s">
        <v>248</v>
      </c>
      <c r="C250" s="13" t="s">
        <v>261</v>
      </c>
      <c r="D250" s="14"/>
      <c r="E250" s="187" t="s">
        <v>429</v>
      </c>
      <c r="F250" s="18" t="s">
        <v>168</v>
      </c>
      <c r="G250" s="19"/>
      <c r="H250" s="114">
        <v>2021</v>
      </c>
      <c r="I250" s="114">
        <v>2023</v>
      </c>
      <c r="J250" s="31">
        <f>'[1]Summary for IPSIS'!$H$193+'[1]Summary for IPSIS'!$I$193</f>
        <v>9600000</v>
      </c>
      <c r="K250" s="37">
        <f>'[1]Summary for IPSIS'!$J$193</f>
        <v>0</v>
      </c>
      <c r="L250" s="39">
        <f t="shared" si="250"/>
        <v>9600000</v>
      </c>
      <c r="M250" s="31">
        <f>'[1]Summary for IPSIS'!$T$193+'[1]Summary for IPSIS'!$U$193</f>
        <v>18000000</v>
      </c>
      <c r="N250" s="37">
        <f>'[1]Summary for IPSIS'!$V$193</f>
        <v>0</v>
      </c>
      <c r="O250" s="39">
        <f t="shared" si="251"/>
        <v>18000000</v>
      </c>
      <c r="P250" s="34">
        <f>'[1]Summary for IPSIS'!$AF$193+'[1]Summary for IPSIS'!$AG$193</f>
        <v>38400000</v>
      </c>
      <c r="Q250" s="39">
        <f>'[1]Summary for IPSIS'!$AH$193</f>
        <v>0</v>
      </c>
      <c r="R250" s="39">
        <f t="shared" si="252"/>
        <v>38400000</v>
      </c>
      <c r="S250" s="34">
        <f>'[1]Summary for IPSIS'!$AR$193+'[1]Summary for IPSIS'!$AS$193</f>
        <v>0</v>
      </c>
      <c r="T250" s="39">
        <f>'[1]Summary for IPSIS'!$AT$193</f>
        <v>0</v>
      </c>
      <c r="U250" s="39">
        <f t="shared" si="253"/>
        <v>0</v>
      </c>
      <c r="V250" s="34">
        <f>'[1]Summary for IPSIS'!$BD$193+'[1]Summary for IPSIS'!$BE$193</f>
        <v>0</v>
      </c>
      <c r="W250" s="39">
        <f>'[1]Summary for IPSIS'!$BF$193</f>
        <v>0</v>
      </c>
      <c r="X250" s="39">
        <f t="shared" si="254"/>
        <v>0</v>
      </c>
      <c r="Y250" s="39">
        <f t="shared" si="255"/>
        <v>66000000</v>
      </c>
      <c r="Z250" s="39">
        <f t="shared" si="256"/>
        <v>0</v>
      </c>
      <c r="AA250" s="39">
        <f t="shared" si="257"/>
        <v>66000000</v>
      </c>
      <c r="AB250" s="34">
        <f>0</f>
        <v>0</v>
      </c>
      <c r="AC250" s="39">
        <f>0</f>
        <v>0</v>
      </c>
      <c r="AD250" s="39">
        <f t="shared" si="258"/>
        <v>0</v>
      </c>
      <c r="AE250" s="34">
        <f>0</f>
        <v>0</v>
      </c>
      <c r="AF250" s="39">
        <f>0</f>
        <v>0</v>
      </c>
      <c r="AG250" s="39"/>
      <c r="AH250" s="39">
        <f t="shared" si="259"/>
        <v>0</v>
      </c>
      <c r="AI250" s="34">
        <f>0</f>
        <v>0</v>
      </c>
      <c r="AJ250" s="39">
        <f>0</f>
        <v>0</v>
      </c>
      <c r="AK250" s="39">
        <f t="shared" si="260"/>
        <v>0</v>
      </c>
      <c r="AL250" s="210">
        <f t="shared" si="249"/>
        <v>-66000000</v>
      </c>
    </row>
    <row r="251" spans="2:46" ht="36" customHeight="1">
      <c r="B251" s="48" t="s">
        <v>249</v>
      </c>
      <c r="C251" s="13" t="s">
        <v>262</v>
      </c>
      <c r="D251" s="14"/>
      <c r="E251" s="187" t="s">
        <v>713</v>
      </c>
      <c r="F251" s="18" t="s">
        <v>168</v>
      </c>
      <c r="G251" s="19"/>
      <c r="H251" s="114">
        <v>2021</v>
      </c>
      <c r="I251" s="114">
        <v>2022</v>
      </c>
      <c r="J251" s="31">
        <f>'[1]Summary for IPSIS'!$H$194+'[1]Summary for IPSIS'!$I$194</f>
        <v>342000</v>
      </c>
      <c r="K251" s="37">
        <f>'[1]Summary for IPSIS'!$J$194</f>
        <v>0</v>
      </c>
      <c r="L251" s="39">
        <f t="shared" si="250"/>
        <v>342000</v>
      </c>
      <c r="M251" s="31">
        <f>'[1]Summary for IPSIS'!$T$194+'[1]Summary for IPSIS'!$U$194</f>
        <v>342000</v>
      </c>
      <c r="N251" s="37">
        <f>'[1]Summary for IPSIS'!$V$194</f>
        <v>0</v>
      </c>
      <c r="O251" s="39">
        <f t="shared" si="251"/>
        <v>342000</v>
      </c>
      <c r="P251" s="34">
        <f>'[1]Summary for IPSIS'!$AF$194+'[1]Summary for IPSIS'!$AG$194</f>
        <v>0</v>
      </c>
      <c r="Q251" s="39">
        <f>'[1]Summary for IPSIS'!$AH$194</f>
        <v>0</v>
      </c>
      <c r="R251" s="39">
        <f t="shared" si="252"/>
        <v>0</v>
      </c>
      <c r="S251" s="34">
        <f>'[1]Summary for IPSIS'!$AR$194+'[1]Summary for IPSIS'!$AS$194</f>
        <v>0</v>
      </c>
      <c r="T251" s="39">
        <f>'[1]Summary for IPSIS'!$AT$194</f>
        <v>0</v>
      </c>
      <c r="U251" s="39">
        <f t="shared" si="253"/>
        <v>0</v>
      </c>
      <c r="V251" s="34">
        <f>'[1]Summary for IPSIS'!$BD$194+'[1]Summary for IPSIS'!$BE$194</f>
        <v>0</v>
      </c>
      <c r="W251" s="39">
        <f>'[1]Summary for IPSIS'!$BF$194</f>
        <v>0</v>
      </c>
      <c r="X251" s="39">
        <f t="shared" si="254"/>
        <v>0</v>
      </c>
      <c r="Y251" s="39">
        <f t="shared" si="255"/>
        <v>684000</v>
      </c>
      <c r="Z251" s="39">
        <f t="shared" si="256"/>
        <v>0</v>
      </c>
      <c r="AA251" s="39">
        <f t="shared" si="257"/>
        <v>684000</v>
      </c>
      <c r="AB251" s="34">
        <f>0</f>
        <v>0</v>
      </c>
      <c r="AC251" s="39">
        <f>0</f>
        <v>0</v>
      </c>
      <c r="AD251" s="39">
        <f t="shared" si="258"/>
        <v>0</v>
      </c>
      <c r="AE251" s="34">
        <f>0</f>
        <v>0</v>
      </c>
      <c r="AF251" s="39">
        <f>0</f>
        <v>0</v>
      </c>
      <c r="AG251" s="39"/>
      <c r="AH251" s="39">
        <f t="shared" si="259"/>
        <v>0</v>
      </c>
      <c r="AI251" s="34">
        <f>0</f>
        <v>0</v>
      </c>
      <c r="AJ251" s="39">
        <f>0</f>
        <v>0</v>
      </c>
      <c r="AK251" s="39">
        <f t="shared" si="260"/>
        <v>0</v>
      </c>
      <c r="AL251" s="210">
        <f t="shared" si="249"/>
        <v>-684000</v>
      </c>
    </row>
    <row r="252" spans="2:46" ht="36">
      <c r="B252" s="48" t="s">
        <v>250</v>
      </c>
      <c r="C252" s="13" t="s">
        <v>263</v>
      </c>
      <c r="D252" s="14"/>
      <c r="E252" s="187" t="s">
        <v>429</v>
      </c>
      <c r="F252" s="18" t="s">
        <v>168</v>
      </c>
      <c r="G252" s="19"/>
      <c r="H252" s="114">
        <v>2025</v>
      </c>
      <c r="I252" s="114">
        <v>2025</v>
      </c>
      <c r="J252" s="31">
        <f>'[1]Summary for IPSIS'!$H$195+'[1]Summary for IPSIS'!$I$195</f>
        <v>0</v>
      </c>
      <c r="K252" s="37">
        <f>'[1]Summary for IPSIS'!$J$195</f>
        <v>0</v>
      </c>
      <c r="L252" s="39">
        <f t="shared" si="250"/>
        <v>0</v>
      </c>
      <c r="M252" s="31">
        <f>'[1]Summary for IPSIS'!$T$195+'[1]Summary for IPSIS'!$U$195</f>
        <v>0</v>
      </c>
      <c r="N252" s="37">
        <f>'[1]Summary for IPSIS'!$V$195</f>
        <v>0</v>
      </c>
      <c r="O252" s="39">
        <f t="shared" si="251"/>
        <v>0</v>
      </c>
      <c r="P252" s="34">
        <f>'[1]Summary for IPSIS'!$AF$195+'[1]Summary for IPSIS'!$AG$195</f>
        <v>0</v>
      </c>
      <c r="Q252" s="39">
        <f>'[1]Summary for IPSIS'!$AH$195</f>
        <v>0</v>
      </c>
      <c r="R252" s="39">
        <f t="shared" si="252"/>
        <v>0</v>
      </c>
      <c r="S252" s="34">
        <f>'[1]Summary for IPSIS'!$AR$195+'[1]Summary for IPSIS'!$AS$195</f>
        <v>0</v>
      </c>
      <c r="T252" s="39">
        <f>'[1]Summary for IPSIS'!$AT$195</f>
        <v>0</v>
      </c>
      <c r="U252" s="39">
        <f t="shared" si="253"/>
        <v>0</v>
      </c>
      <c r="V252" s="34">
        <f>'[1]Summary for IPSIS'!$BD$195+'[1]Summary for IPSIS'!$BE$195</f>
        <v>10961664</v>
      </c>
      <c r="W252" s="39">
        <f>'[1]Summary for IPSIS'!$BF$195</f>
        <v>89700000</v>
      </c>
      <c r="X252" s="39">
        <f t="shared" si="254"/>
        <v>100661664</v>
      </c>
      <c r="Y252" s="39">
        <f t="shared" si="255"/>
        <v>10961664</v>
      </c>
      <c r="Z252" s="39">
        <f t="shared" si="256"/>
        <v>89700000</v>
      </c>
      <c r="AA252" s="39">
        <f t="shared" si="257"/>
        <v>100661664</v>
      </c>
      <c r="AB252" s="34">
        <f>0</f>
        <v>0</v>
      </c>
      <c r="AC252" s="39">
        <f>0</f>
        <v>0</v>
      </c>
      <c r="AD252" s="39">
        <f t="shared" si="258"/>
        <v>0</v>
      </c>
      <c r="AE252" s="34">
        <f>0</f>
        <v>0</v>
      </c>
      <c r="AF252" s="39">
        <f>0</f>
        <v>0</v>
      </c>
      <c r="AG252" s="39"/>
      <c r="AH252" s="39">
        <f t="shared" si="259"/>
        <v>0</v>
      </c>
      <c r="AI252" s="34">
        <f>10961664</f>
        <v>10961664</v>
      </c>
      <c r="AJ252" s="39">
        <v>89700000</v>
      </c>
      <c r="AK252" s="39">
        <f t="shared" si="260"/>
        <v>100661664</v>
      </c>
      <c r="AL252" s="210">
        <f t="shared" si="249"/>
        <v>0</v>
      </c>
    </row>
    <row r="253" spans="2:46" ht="30.6" customHeight="1" thickBot="1">
      <c r="B253" s="233" t="s">
        <v>251</v>
      </c>
      <c r="C253" s="243" t="s">
        <v>264</v>
      </c>
      <c r="D253" s="20"/>
      <c r="E253" s="213" t="s">
        <v>429</v>
      </c>
      <c r="F253" s="91" t="s">
        <v>168</v>
      </c>
      <c r="G253" s="89"/>
      <c r="H253" s="9">
        <v>2023</v>
      </c>
      <c r="I253" s="9">
        <v>2025</v>
      </c>
      <c r="J253" s="215">
        <f>'[1]Summary for IPSIS'!$H$196+'[1]Summary for IPSIS'!$I$196</f>
        <v>0</v>
      </c>
      <c r="K253" s="90">
        <f>'[1]Summary for IPSIS'!$J$196</f>
        <v>0</v>
      </c>
      <c r="L253" s="82">
        <f t="shared" si="250"/>
        <v>0</v>
      </c>
      <c r="M253" s="215">
        <f>'[1]Summary for IPSIS'!$T$196+'[1]Summary for IPSIS'!$U$196</f>
        <v>0</v>
      </c>
      <c r="N253" s="90">
        <f>'[1]Summary for IPSIS'!$V$196</f>
        <v>0</v>
      </c>
      <c r="O253" s="82">
        <f t="shared" si="251"/>
        <v>0</v>
      </c>
      <c r="P253" s="234">
        <f>'[1]Summary for IPSIS'!$AF$196+'[1]Summary for IPSIS'!$AG$196</f>
        <v>26400000</v>
      </c>
      <c r="Q253" s="82">
        <f>'[1]Summary for IPSIS'!$AH$196</f>
        <v>0</v>
      </c>
      <c r="R253" s="82">
        <f t="shared" si="252"/>
        <v>26400000</v>
      </c>
      <c r="S253" s="234">
        <f>'[1]Summary for IPSIS'!$AR$196+'[1]Summary for IPSIS'!$AS$196</f>
        <v>26400000</v>
      </c>
      <c r="T253" s="82">
        <f>'[1]Summary for IPSIS'!$AT$196</f>
        <v>0</v>
      </c>
      <c r="U253" s="82">
        <f t="shared" si="253"/>
        <v>26400000</v>
      </c>
      <c r="V253" s="234">
        <f>'[1]Summary for IPSIS'!$BD$196+'[1]Summary for IPSIS'!$BE$196</f>
        <v>26400000</v>
      </c>
      <c r="W253" s="82">
        <f>'[1]Summary for IPSIS'!$BF$196</f>
        <v>0</v>
      </c>
      <c r="X253" s="82">
        <f t="shared" si="254"/>
        <v>26400000</v>
      </c>
      <c r="Y253" s="82">
        <f t="shared" si="255"/>
        <v>79200000</v>
      </c>
      <c r="Z253" s="82">
        <f t="shared" si="256"/>
        <v>0</v>
      </c>
      <c r="AA253" s="82">
        <f t="shared" si="257"/>
        <v>79200000</v>
      </c>
      <c r="AB253" s="234">
        <f>0</f>
        <v>0</v>
      </c>
      <c r="AC253" s="82">
        <f>0</f>
        <v>0</v>
      </c>
      <c r="AD253" s="82">
        <f t="shared" si="258"/>
        <v>0</v>
      </c>
      <c r="AE253" s="234">
        <f>0</f>
        <v>0</v>
      </c>
      <c r="AF253" s="82">
        <f>0</f>
        <v>0</v>
      </c>
      <c r="AG253" s="82"/>
      <c r="AH253" s="82">
        <f t="shared" si="259"/>
        <v>0</v>
      </c>
      <c r="AI253" s="234">
        <f>26400000+26400000</f>
        <v>52800000</v>
      </c>
      <c r="AJ253" s="82">
        <f>0</f>
        <v>0</v>
      </c>
      <c r="AK253" s="82">
        <f t="shared" si="260"/>
        <v>52800000</v>
      </c>
      <c r="AL253" s="217">
        <f t="shared" si="249"/>
        <v>-26400000</v>
      </c>
    </row>
    <row r="254" spans="2:46" s="6" customFormat="1" ht="27.6" customHeight="1" thickBot="1">
      <c r="B254" s="58"/>
      <c r="C254" s="65" t="s">
        <v>83</v>
      </c>
      <c r="D254" s="66"/>
      <c r="E254" s="66"/>
      <c r="F254" s="56"/>
      <c r="G254" s="56"/>
      <c r="H254" s="56"/>
      <c r="I254" s="56"/>
      <c r="J254" s="57">
        <f t="shared" ref="J254:L254" si="261">SUM(J241:J253)</f>
        <v>11322000</v>
      </c>
      <c r="K254" s="57">
        <f t="shared" si="261"/>
        <v>0</v>
      </c>
      <c r="L254" s="57">
        <f t="shared" si="261"/>
        <v>11322000</v>
      </c>
      <c r="M254" s="57">
        <f t="shared" ref="M254:AL254" si="262">SUM(M241:M253)</f>
        <v>20514880</v>
      </c>
      <c r="N254" s="57">
        <f t="shared" si="262"/>
        <v>17250000</v>
      </c>
      <c r="O254" s="57">
        <f t="shared" si="262"/>
        <v>37764880</v>
      </c>
      <c r="P254" s="57">
        <f t="shared" si="262"/>
        <v>68292784</v>
      </c>
      <c r="Q254" s="57">
        <f t="shared" si="262"/>
        <v>17250000</v>
      </c>
      <c r="R254" s="57">
        <f t="shared" si="262"/>
        <v>85542784</v>
      </c>
      <c r="S254" s="57">
        <f t="shared" si="262"/>
        <v>28327104</v>
      </c>
      <c r="T254" s="57">
        <f t="shared" si="262"/>
        <v>17250000</v>
      </c>
      <c r="U254" s="57">
        <f t="shared" si="262"/>
        <v>45577104</v>
      </c>
      <c r="V254" s="57">
        <f t="shared" si="262"/>
        <v>39288768</v>
      </c>
      <c r="W254" s="57">
        <f t="shared" si="262"/>
        <v>106950000</v>
      </c>
      <c r="X254" s="57">
        <f t="shared" si="262"/>
        <v>146238768</v>
      </c>
      <c r="Y254" s="57">
        <f t="shared" si="262"/>
        <v>167745536</v>
      </c>
      <c r="Z254" s="57">
        <f t="shared" si="262"/>
        <v>158700000</v>
      </c>
      <c r="AA254" s="57">
        <f t="shared" si="262"/>
        <v>326445536</v>
      </c>
      <c r="AB254" s="57">
        <f t="shared" si="262"/>
        <v>956864</v>
      </c>
      <c r="AC254" s="57">
        <f t="shared" si="262"/>
        <v>34500000</v>
      </c>
      <c r="AD254" s="57">
        <f t="shared" si="262"/>
        <v>35456864</v>
      </c>
      <c r="AE254" s="57">
        <f t="shared" si="262"/>
        <v>0</v>
      </c>
      <c r="AF254" s="57">
        <f>0</f>
        <v>0</v>
      </c>
      <c r="AG254" s="57"/>
      <c r="AH254" s="57">
        <f t="shared" si="262"/>
        <v>0</v>
      </c>
      <c r="AI254" s="57">
        <f t="shared" si="262"/>
        <v>101611872</v>
      </c>
      <c r="AJ254" s="57">
        <f t="shared" si="262"/>
        <v>89700000</v>
      </c>
      <c r="AK254" s="57">
        <f t="shared" si="262"/>
        <v>191311872</v>
      </c>
      <c r="AL254" s="218">
        <f t="shared" si="262"/>
        <v>-99676800</v>
      </c>
      <c r="AM254" s="36"/>
      <c r="AN254" s="36"/>
      <c r="AO254" s="36"/>
      <c r="AP254" s="36"/>
      <c r="AQ254" s="36"/>
      <c r="AR254" s="36"/>
      <c r="AS254" s="36"/>
      <c r="AT254" s="36"/>
    </row>
    <row r="255" spans="2:46" s="6" customFormat="1" ht="24.75" customHeight="1" thickBot="1">
      <c r="B255" s="58"/>
      <c r="C255" s="285" t="s">
        <v>753</v>
      </c>
      <c r="D255" s="286"/>
      <c r="E255" s="185"/>
      <c r="F255" s="56"/>
      <c r="G255" s="56"/>
      <c r="H255" s="56"/>
      <c r="I255" s="56"/>
      <c r="J255" s="57">
        <f>J238+J254</f>
        <v>15313680</v>
      </c>
      <c r="K255" s="57">
        <f t="shared" ref="K255:AL255" si="263">K238+K254</f>
        <v>0</v>
      </c>
      <c r="L255" s="57">
        <f t="shared" si="263"/>
        <v>15313680</v>
      </c>
      <c r="M255" s="57">
        <f t="shared" si="263"/>
        <v>24518080</v>
      </c>
      <c r="N255" s="57">
        <f t="shared" si="263"/>
        <v>17250000</v>
      </c>
      <c r="O255" s="57">
        <f t="shared" si="263"/>
        <v>41768080</v>
      </c>
      <c r="P255" s="57">
        <f t="shared" si="263"/>
        <v>71136064</v>
      </c>
      <c r="Q255" s="57">
        <f t="shared" si="263"/>
        <v>17250000</v>
      </c>
      <c r="R255" s="57">
        <f t="shared" si="263"/>
        <v>88386064</v>
      </c>
      <c r="S255" s="57">
        <f t="shared" si="263"/>
        <v>30024384</v>
      </c>
      <c r="T255" s="57">
        <f t="shared" si="263"/>
        <v>17250000</v>
      </c>
      <c r="U255" s="57">
        <f t="shared" si="263"/>
        <v>47274384</v>
      </c>
      <c r="V255" s="57">
        <f t="shared" si="263"/>
        <v>48259880</v>
      </c>
      <c r="W255" s="57">
        <f t="shared" si="263"/>
        <v>118450000</v>
      </c>
      <c r="X255" s="57">
        <f t="shared" si="263"/>
        <v>166709880</v>
      </c>
      <c r="Y255" s="57">
        <f t="shared" si="263"/>
        <v>189252088</v>
      </c>
      <c r="Z255" s="57">
        <f t="shared" si="263"/>
        <v>170200000</v>
      </c>
      <c r="AA255" s="57">
        <f t="shared" si="263"/>
        <v>359452088</v>
      </c>
      <c r="AB255" s="57">
        <f t="shared" si="263"/>
        <v>8920544</v>
      </c>
      <c r="AC255" s="57">
        <f t="shared" si="263"/>
        <v>34500000</v>
      </c>
      <c r="AD255" s="57">
        <f t="shared" si="263"/>
        <v>43420544</v>
      </c>
      <c r="AE255" s="57">
        <f t="shared" si="263"/>
        <v>0</v>
      </c>
      <c r="AF255" s="57">
        <f t="shared" si="263"/>
        <v>0</v>
      </c>
      <c r="AG255" s="57">
        <f t="shared" si="263"/>
        <v>0</v>
      </c>
      <c r="AH255" s="57">
        <f t="shared" si="263"/>
        <v>0</v>
      </c>
      <c r="AI255" s="57">
        <f t="shared" si="263"/>
        <v>111692264</v>
      </c>
      <c r="AJ255" s="57">
        <f t="shared" si="263"/>
        <v>101200000</v>
      </c>
      <c r="AK255" s="57">
        <f t="shared" si="263"/>
        <v>212892264</v>
      </c>
      <c r="AL255" s="218">
        <f t="shared" si="263"/>
        <v>-103139280</v>
      </c>
      <c r="AM255" s="36"/>
      <c r="AN255" s="36"/>
      <c r="AO255" s="36"/>
      <c r="AP255" s="36"/>
      <c r="AQ255" s="36"/>
      <c r="AR255" s="36"/>
      <c r="AS255" s="36"/>
      <c r="AT255" s="36"/>
    </row>
    <row r="256" spans="2:46" s="6" customFormat="1" ht="24.75" customHeight="1" thickBot="1">
      <c r="B256" s="183"/>
      <c r="C256" s="296" t="s">
        <v>145</v>
      </c>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c r="AK256" s="334"/>
      <c r="AL256" s="335"/>
      <c r="AM256" s="36"/>
      <c r="AN256" s="36"/>
      <c r="AO256" s="36"/>
      <c r="AP256" s="36"/>
      <c r="AQ256" s="36"/>
      <c r="AR256" s="36"/>
      <c r="AS256" s="36"/>
      <c r="AT256" s="36"/>
    </row>
    <row r="257" spans="2:46" ht="32.4" customHeight="1" thickBot="1">
      <c r="B257" s="290" t="s">
        <v>770</v>
      </c>
      <c r="C257" s="296"/>
      <c r="D257" s="296"/>
      <c r="E257" s="296"/>
      <c r="F257" s="296"/>
      <c r="G257" s="296"/>
      <c r="H257" s="296"/>
      <c r="I257" s="296"/>
      <c r="J257" s="296"/>
      <c r="K257" s="296"/>
      <c r="L257" s="296"/>
      <c r="M257" s="296"/>
      <c r="N257" s="296"/>
      <c r="O257" s="296"/>
      <c r="P257" s="296"/>
      <c r="Q257" s="296"/>
      <c r="R257" s="296"/>
      <c r="S257" s="296"/>
      <c r="T257" s="296"/>
      <c r="U257" s="296"/>
      <c r="V257" s="296"/>
      <c r="W257" s="296"/>
      <c r="X257" s="296"/>
      <c r="Y257" s="296"/>
      <c r="Z257" s="296"/>
      <c r="AA257" s="296"/>
      <c r="AB257" s="296"/>
      <c r="AC257" s="296"/>
      <c r="AD257" s="296"/>
      <c r="AE257" s="296"/>
      <c r="AF257" s="296"/>
      <c r="AG257" s="296"/>
      <c r="AH257" s="296"/>
      <c r="AI257" s="296"/>
      <c r="AJ257" s="296"/>
      <c r="AK257" s="296"/>
      <c r="AL257" s="297"/>
    </row>
    <row r="258" spans="2:46" ht="32.4" customHeight="1">
      <c r="B258" s="304" t="s">
        <v>0</v>
      </c>
      <c r="C258" s="310" t="s">
        <v>111</v>
      </c>
      <c r="D258" s="310" t="s">
        <v>1</v>
      </c>
      <c r="E258" s="164" t="s">
        <v>112</v>
      </c>
      <c r="F258" s="310" t="s">
        <v>747</v>
      </c>
      <c r="G258" s="310"/>
      <c r="H258" s="298" t="s">
        <v>116</v>
      </c>
      <c r="I258" s="298"/>
      <c r="J258" s="311" t="s">
        <v>119</v>
      </c>
      <c r="K258" s="311"/>
      <c r="L258" s="311"/>
      <c r="M258" s="311" t="s">
        <v>120</v>
      </c>
      <c r="N258" s="311"/>
      <c r="O258" s="311"/>
      <c r="P258" s="311" t="s">
        <v>121</v>
      </c>
      <c r="Q258" s="314"/>
      <c r="R258" s="314"/>
      <c r="S258" s="312" t="s">
        <v>122</v>
      </c>
      <c r="T258" s="312"/>
      <c r="U258" s="312"/>
      <c r="V258" s="312" t="s">
        <v>123</v>
      </c>
      <c r="W258" s="312"/>
      <c r="X258" s="312"/>
      <c r="Y258" s="312" t="s">
        <v>124</v>
      </c>
      <c r="Z258" s="314"/>
      <c r="AA258" s="314"/>
      <c r="AB258" s="311" t="s">
        <v>125</v>
      </c>
      <c r="AC258" s="311"/>
      <c r="AD258" s="311"/>
      <c r="AE258" s="311"/>
      <c r="AF258" s="311"/>
      <c r="AG258" s="311"/>
      <c r="AH258" s="311"/>
      <c r="AI258" s="311" t="s">
        <v>131</v>
      </c>
      <c r="AJ258" s="317"/>
      <c r="AK258" s="317"/>
      <c r="AL258" s="323" t="s">
        <v>132</v>
      </c>
    </row>
    <row r="259" spans="2:46" ht="33" customHeight="1">
      <c r="B259" s="305"/>
      <c r="C259" s="308"/>
      <c r="D259" s="308"/>
      <c r="E259" s="308" t="s">
        <v>113</v>
      </c>
      <c r="F259" s="318" t="s">
        <v>114</v>
      </c>
      <c r="G259" s="318" t="s">
        <v>115</v>
      </c>
      <c r="H259" s="320" t="s">
        <v>117</v>
      </c>
      <c r="I259" s="320" t="s">
        <v>117</v>
      </c>
      <c r="J259" s="299"/>
      <c r="K259" s="299"/>
      <c r="L259" s="299"/>
      <c r="M259" s="299"/>
      <c r="N259" s="299"/>
      <c r="O259" s="299"/>
      <c r="P259" s="315"/>
      <c r="Q259" s="315"/>
      <c r="R259" s="315"/>
      <c r="S259" s="313"/>
      <c r="T259" s="313"/>
      <c r="U259" s="313"/>
      <c r="V259" s="313"/>
      <c r="W259" s="313"/>
      <c r="X259" s="313"/>
      <c r="Y259" s="315"/>
      <c r="Z259" s="315"/>
      <c r="AA259" s="315"/>
      <c r="AB259" s="299" t="s">
        <v>127</v>
      </c>
      <c r="AC259" s="300"/>
      <c r="AD259" s="300"/>
      <c r="AE259" s="299" t="s">
        <v>128</v>
      </c>
      <c r="AF259" s="301"/>
      <c r="AG259" s="301"/>
      <c r="AH259" s="301"/>
      <c r="AI259" s="316" t="s">
        <v>134</v>
      </c>
      <c r="AJ259" s="316"/>
      <c r="AK259" s="316"/>
      <c r="AL259" s="324"/>
    </row>
    <row r="260" spans="2:46" ht="21" customHeight="1" thickBot="1">
      <c r="B260" s="306"/>
      <c r="C260" s="322"/>
      <c r="D260" s="322"/>
      <c r="E260" s="322"/>
      <c r="F260" s="319"/>
      <c r="G260" s="319"/>
      <c r="H260" s="321"/>
      <c r="I260" s="321"/>
      <c r="J260" s="205" t="s">
        <v>87</v>
      </c>
      <c r="K260" s="206" t="s">
        <v>88</v>
      </c>
      <c r="L260" s="206" t="s">
        <v>133</v>
      </c>
      <c r="M260" s="205" t="s">
        <v>87</v>
      </c>
      <c r="N260" s="206" t="s">
        <v>88</v>
      </c>
      <c r="O260" s="206" t="s">
        <v>133</v>
      </c>
      <c r="P260" s="205" t="s">
        <v>87</v>
      </c>
      <c r="Q260" s="206" t="s">
        <v>88</v>
      </c>
      <c r="R260" s="206" t="s">
        <v>133</v>
      </c>
      <c r="S260" s="205" t="s">
        <v>87</v>
      </c>
      <c r="T260" s="206" t="s">
        <v>88</v>
      </c>
      <c r="U260" s="206" t="s">
        <v>133</v>
      </c>
      <c r="V260" s="205" t="s">
        <v>87</v>
      </c>
      <c r="W260" s="206" t="s">
        <v>88</v>
      </c>
      <c r="X260" s="206" t="s">
        <v>133</v>
      </c>
      <c r="Y260" s="206" t="s">
        <v>87</v>
      </c>
      <c r="Z260" s="206" t="s">
        <v>88</v>
      </c>
      <c r="AA260" s="206" t="s">
        <v>133</v>
      </c>
      <c r="AB260" s="205" t="s">
        <v>87</v>
      </c>
      <c r="AC260" s="206" t="s">
        <v>88</v>
      </c>
      <c r="AD260" s="206" t="s">
        <v>126</v>
      </c>
      <c r="AE260" s="205" t="s">
        <v>87</v>
      </c>
      <c r="AF260" s="206" t="s">
        <v>88</v>
      </c>
      <c r="AG260" s="206" t="s">
        <v>129</v>
      </c>
      <c r="AH260" s="206" t="s">
        <v>130</v>
      </c>
      <c r="AI260" s="205" t="s">
        <v>87</v>
      </c>
      <c r="AJ260" s="206" t="s">
        <v>88</v>
      </c>
      <c r="AK260" s="206" t="s">
        <v>133</v>
      </c>
      <c r="AL260" s="207"/>
    </row>
    <row r="261" spans="2:46" ht="53.25" customHeight="1">
      <c r="B261" s="161">
        <v>7.1</v>
      </c>
      <c r="C261" s="283" t="s">
        <v>207</v>
      </c>
      <c r="D261" s="284"/>
      <c r="E261" s="208"/>
      <c r="F261" s="75"/>
      <c r="G261" s="88"/>
      <c r="H261" s="72"/>
      <c r="I261" s="72"/>
      <c r="J261" s="70"/>
      <c r="K261" s="70"/>
      <c r="L261" s="78"/>
      <c r="M261" s="70"/>
      <c r="N261" s="70"/>
      <c r="O261" s="78"/>
      <c r="P261" s="80"/>
      <c r="Q261" s="78"/>
      <c r="R261" s="78"/>
      <c r="S261" s="80"/>
      <c r="T261" s="78"/>
      <c r="U261" s="78"/>
      <c r="V261" s="80"/>
      <c r="W261" s="78"/>
      <c r="X261" s="78"/>
      <c r="Y261" s="78"/>
      <c r="Z261" s="78"/>
      <c r="AA261" s="78"/>
      <c r="AB261" s="80"/>
      <c r="AC261" s="78"/>
      <c r="AD261" s="78"/>
      <c r="AE261" s="80"/>
      <c r="AF261" s="78"/>
      <c r="AG261" s="78"/>
      <c r="AH261" s="78"/>
      <c r="AI261" s="80"/>
      <c r="AJ261" s="78"/>
      <c r="AK261" s="78"/>
      <c r="AL261" s="79"/>
    </row>
    <row r="262" spans="2:46" ht="22.8" customHeight="1">
      <c r="B262" s="162"/>
      <c r="C262" s="113" t="s">
        <v>141</v>
      </c>
      <c r="D262" s="60"/>
      <c r="E262" s="60"/>
      <c r="F262" s="18"/>
      <c r="G262" s="19"/>
      <c r="H262" s="11"/>
      <c r="I262" s="11"/>
      <c r="J262" s="31"/>
      <c r="K262" s="31"/>
      <c r="L262" s="39"/>
      <c r="M262" s="31"/>
      <c r="N262" s="31"/>
      <c r="O262" s="39"/>
      <c r="P262" s="34"/>
      <c r="Q262" s="39"/>
      <c r="R262" s="39"/>
      <c r="S262" s="34"/>
      <c r="T262" s="39"/>
      <c r="U262" s="39"/>
      <c r="V262" s="34"/>
      <c r="W262" s="39"/>
      <c r="X262" s="39"/>
      <c r="Y262" s="39"/>
      <c r="Z262" s="39"/>
      <c r="AA262" s="39"/>
      <c r="AB262" s="34"/>
      <c r="AC262" s="39"/>
      <c r="AD262" s="39"/>
      <c r="AE262" s="34"/>
      <c r="AF262" s="39"/>
      <c r="AG262" s="39"/>
      <c r="AH262" s="39"/>
      <c r="AI262" s="34"/>
      <c r="AJ262" s="39"/>
      <c r="AK262" s="39"/>
      <c r="AL262" s="40"/>
    </row>
    <row r="263" spans="2:46" ht="48" customHeight="1">
      <c r="B263" s="48" t="s">
        <v>58</v>
      </c>
      <c r="C263" s="186" t="s">
        <v>393</v>
      </c>
      <c r="D263" s="14"/>
      <c r="E263" s="181" t="s">
        <v>717</v>
      </c>
      <c r="F263" s="16" t="s">
        <v>208</v>
      </c>
      <c r="G263" s="16"/>
      <c r="H263" s="181">
        <v>2021</v>
      </c>
      <c r="I263" s="181">
        <v>2025</v>
      </c>
      <c r="J263" s="41">
        <f>'[1]Summary for IPSIS'!$H$199+'[1]Summary for IPSIS'!$I$199</f>
        <v>3600000</v>
      </c>
      <c r="K263" s="31">
        <f>'[1]Summary for IPSIS'!$J$199</f>
        <v>0</v>
      </c>
      <c r="L263" s="39">
        <f>SUM(J263:K263)</f>
        <v>3600000</v>
      </c>
      <c r="M263" s="41">
        <f>'[1]Summary for IPSIS'!$T$199+'[1]Summary for IPSIS'!$U$199</f>
        <v>0</v>
      </c>
      <c r="N263" s="31">
        <f>'[1]Summary for IPSIS'!$V$199</f>
        <v>0</v>
      </c>
      <c r="O263" s="39">
        <f>SUM(M263:N263)</f>
        <v>0</v>
      </c>
      <c r="P263" s="34">
        <f>'[1]Summary for IPSIS'!$AF$199+'[1]Summary for IPSIS'!$AG$199</f>
        <v>3600000</v>
      </c>
      <c r="Q263" s="39">
        <f>'[1]Summary for IPSIS'!$AH$199</f>
        <v>0</v>
      </c>
      <c r="R263" s="39">
        <f>SUM(P263:Q263)</f>
        <v>3600000</v>
      </c>
      <c r="S263" s="34">
        <f>'[1]Summary for IPSIS'!$AR$199+'[1]Summary for IPSIS'!$AS$199</f>
        <v>0</v>
      </c>
      <c r="T263" s="39">
        <f>'[1]Summary for IPSIS'!$AT$199</f>
        <v>0</v>
      </c>
      <c r="U263" s="39">
        <f>SUM(S263:T263)</f>
        <v>0</v>
      </c>
      <c r="V263" s="34">
        <f>'[1]Summary for IPSIS'!$BD$199+'[1]Summary for IPSIS'!$BE$199</f>
        <v>3600000</v>
      </c>
      <c r="W263" s="39">
        <f>'[1]Summary for IPSIS'!$BF$199</f>
        <v>0</v>
      </c>
      <c r="X263" s="39">
        <f>SUM(V263:W263)</f>
        <v>3600000</v>
      </c>
      <c r="Y263" s="39">
        <f>J263+M263+P263+S263+V263</f>
        <v>10800000</v>
      </c>
      <c r="Z263" s="39">
        <f>K263+N263+Q263+T263+W263</f>
        <v>0</v>
      </c>
      <c r="AA263" s="39">
        <f>SUM(Y263:Z263)</f>
        <v>10800000</v>
      </c>
      <c r="AB263" s="34">
        <f>3600000+3600000</f>
        <v>7200000</v>
      </c>
      <c r="AC263" s="39">
        <f>0</f>
        <v>0</v>
      </c>
      <c r="AD263" s="39">
        <f>SUM(AB263:AC263)</f>
        <v>7200000</v>
      </c>
      <c r="AE263" s="34">
        <f>0</f>
        <v>0</v>
      </c>
      <c r="AF263" s="39">
        <f>0</f>
        <v>0</v>
      </c>
      <c r="AG263" s="39"/>
      <c r="AH263" s="39">
        <f>SUM(AE263:AF263)</f>
        <v>0</v>
      </c>
      <c r="AI263" s="34">
        <f>3600000</f>
        <v>3600000</v>
      </c>
      <c r="AJ263" s="39">
        <f>0</f>
        <v>0</v>
      </c>
      <c r="AK263" s="39">
        <f>SUM(AI263:AJ263)</f>
        <v>3600000</v>
      </c>
      <c r="AL263" s="210">
        <f t="shared" ref="AL263:AL270" si="264">SUM(AK263+AH263+AD263)-AA263</f>
        <v>0</v>
      </c>
    </row>
    <row r="264" spans="2:46" ht="45.6" customHeight="1">
      <c r="B264" s="48" t="s">
        <v>59</v>
      </c>
      <c r="C264" s="186" t="s">
        <v>394</v>
      </c>
      <c r="D264" s="14"/>
      <c r="E264" s="181" t="s">
        <v>717</v>
      </c>
      <c r="F264" s="16" t="s">
        <v>208</v>
      </c>
      <c r="G264" s="16"/>
      <c r="H264" s="181">
        <v>2021</v>
      </c>
      <c r="I264" s="181">
        <v>2025</v>
      </c>
      <c r="J264" s="41">
        <f>'[1]Summary for IPSIS'!$H$200+'[1]Summary for IPSIS'!$I$200</f>
        <v>436800</v>
      </c>
      <c r="K264" s="31">
        <f>'[1]Summary for IPSIS'!$J$200</f>
        <v>0</v>
      </c>
      <c r="L264" s="39">
        <f t="shared" ref="L264:L270" si="265">SUM(J264:K264)</f>
        <v>436800</v>
      </c>
      <c r="M264" s="41">
        <f>'[1]Summary for IPSIS'!$T$200+'[1]Summary for IPSIS'!$U$200</f>
        <v>0</v>
      </c>
      <c r="N264" s="31">
        <f>'[1]Summary for IPSIS'!$V$200</f>
        <v>0</v>
      </c>
      <c r="O264" s="39">
        <f t="shared" ref="O264:O270" si="266">SUM(M264:N264)</f>
        <v>0</v>
      </c>
      <c r="P264" s="34">
        <f>'[1]Summary for IPSIS'!$AF$200+'[1]Summary for IPSIS'!$AG$200</f>
        <v>436800</v>
      </c>
      <c r="Q264" s="39">
        <f>'[1]Summary for IPSIS'!$AH$200</f>
        <v>0</v>
      </c>
      <c r="R264" s="39">
        <f t="shared" ref="R264:R270" si="267">SUM(P264:Q264)</f>
        <v>436800</v>
      </c>
      <c r="S264" s="34">
        <f>'[1]Summary for IPSIS'!$AR$200+'[1]Summary for IPSIS'!$AS$200</f>
        <v>0</v>
      </c>
      <c r="T264" s="39">
        <f>'[1]Summary for IPSIS'!$AT$200</f>
        <v>0</v>
      </c>
      <c r="U264" s="39">
        <f t="shared" ref="U264:U270" si="268">SUM(S264:T264)</f>
        <v>0</v>
      </c>
      <c r="V264" s="34">
        <f>'[1]Summary for IPSIS'!$BD$200+'[1]Summary for IPSIS'!$BE$200</f>
        <v>436800</v>
      </c>
      <c r="W264" s="39">
        <f>'[1]Summary for IPSIS'!$BF$200</f>
        <v>0</v>
      </c>
      <c r="X264" s="39">
        <f t="shared" ref="X264:X270" si="269">SUM(V264:W264)</f>
        <v>436800</v>
      </c>
      <c r="Y264" s="39">
        <f t="shared" ref="Y264:Y270" si="270">J264+M264+P264+S264+V264</f>
        <v>1310400</v>
      </c>
      <c r="Z264" s="39">
        <f t="shared" ref="Z264:Z270" si="271">K264+N264+Q264+T264+W264</f>
        <v>0</v>
      </c>
      <c r="AA264" s="39">
        <f t="shared" ref="AA264:AA270" si="272">SUM(Y264:Z264)</f>
        <v>1310400</v>
      </c>
      <c r="AB264" s="34">
        <f>0</f>
        <v>0</v>
      </c>
      <c r="AC264" s="39">
        <f>0</f>
        <v>0</v>
      </c>
      <c r="AD264" s="39">
        <f t="shared" ref="AD264:AD270" si="273">SUM(AB264:AC264)</f>
        <v>0</v>
      </c>
      <c r="AE264" s="34">
        <f>0</f>
        <v>0</v>
      </c>
      <c r="AF264" s="39">
        <f>0</f>
        <v>0</v>
      </c>
      <c r="AG264" s="39"/>
      <c r="AH264" s="39">
        <f t="shared" ref="AH264:AH270" si="274">SUM(AE264:AF264)</f>
        <v>0</v>
      </c>
      <c r="AI264" s="34">
        <f>0</f>
        <v>0</v>
      </c>
      <c r="AJ264" s="39">
        <f>0</f>
        <v>0</v>
      </c>
      <c r="AK264" s="39">
        <f t="shared" ref="AK264:AK270" si="275">SUM(AI264:AJ264)</f>
        <v>0</v>
      </c>
      <c r="AL264" s="210">
        <f t="shared" si="264"/>
        <v>-1310400</v>
      </c>
    </row>
    <row r="265" spans="2:46" ht="48" customHeight="1">
      <c r="B265" s="48" t="s">
        <v>60</v>
      </c>
      <c r="C265" s="186" t="s">
        <v>395</v>
      </c>
      <c r="D265" s="14"/>
      <c r="E265" s="181" t="s">
        <v>718</v>
      </c>
      <c r="F265" s="16" t="s">
        <v>208</v>
      </c>
      <c r="G265" s="16" t="s">
        <v>730</v>
      </c>
      <c r="H265" s="181">
        <v>2023</v>
      </c>
      <c r="I265" s="181">
        <v>2025</v>
      </c>
      <c r="J265" s="41">
        <f>'[1]Summary for IPSIS'!$H$201+'[1]Summary for IPSIS'!$I$201</f>
        <v>0</v>
      </c>
      <c r="K265" s="31">
        <f>'[1]Summary for IPSIS'!$J$201</f>
        <v>0</v>
      </c>
      <c r="L265" s="39">
        <f t="shared" si="265"/>
        <v>0</v>
      </c>
      <c r="M265" s="41">
        <f>'[1]Summary for IPSIS'!$T$201+'[1]Summary for IPSIS'!$U$201</f>
        <v>0</v>
      </c>
      <c r="N265" s="31">
        <f>'[1]Summary for IPSIS'!$V$201</f>
        <v>0</v>
      </c>
      <c r="O265" s="39">
        <f t="shared" si="266"/>
        <v>0</v>
      </c>
      <c r="P265" s="34">
        <f>'[1]Summary for IPSIS'!$AF$201+'[1]Summary for IPSIS'!$AG$201</f>
        <v>627060</v>
      </c>
      <c r="Q265" s="39">
        <f>'[1]Summary for IPSIS'!$AH$201</f>
        <v>0</v>
      </c>
      <c r="R265" s="39">
        <f t="shared" si="267"/>
        <v>627060</v>
      </c>
      <c r="S265" s="34">
        <f>'[1]Summary for IPSIS'!$AR$201+'[1]Summary for IPSIS'!$AS$201</f>
        <v>0</v>
      </c>
      <c r="T265" s="39">
        <f>'[1]Summary for IPSIS'!$AT$201</f>
        <v>0</v>
      </c>
      <c r="U265" s="39">
        <f t="shared" si="268"/>
        <v>0</v>
      </c>
      <c r="V265" s="34">
        <f>'[1]Summary for IPSIS'!$BD$201+'[1]Summary for IPSIS'!$BE$201</f>
        <v>627060</v>
      </c>
      <c r="W265" s="39">
        <f>'[1]Summary for IPSIS'!$BF$201</f>
        <v>0</v>
      </c>
      <c r="X265" s="39">
        <f t="shared" si="269"/>
        <v>627060</v>
      </c>
      <c r="Y265" s="39">
        <f t="shared" si="270"/>
        <v>1254120</v>
      </c>
      <c r="Z265" s="39">
        <f t="shared" si="271"/>
        <v>0</v>
      </c>
      <c r="AA265" s="39">
        <f t="shared" si="272"/>
        <v>1254120</v>
      </c>
      <c r="AB265" s="34">
        <f>627060</f>
        <v>627060</v>
      </c>
      <c r="AC265" s="39">
        <f>0</f>
        <v>0</v>
      </c>
      <c r="AD265" s="39">
        <f t="shared" si="273"/>
        <v>627060</v>
      </c>
      <c r="AE265" s="34">
        <f>0</f>
        <v>0</v>
      </c>
      <c r="AF265" s="39">
        <f>0</f>
        <v>0</v>
      </c>
      <c r="AG265" s="39"/>
      <c r="AH265" s="39">
        <f t="shared" si="274"/>
        <v>0</v>
      </c>
      <c r="AI265" s="34">
        <f>627060</f>
        <v>627060</v>
      </c>
      <c r="AJ265" s="39">
        <f>0</f>
        <v>0</v>
      </c>
      <c r="AK265" s="39">
        <f t="shared" si="275"/>
        <v>627060</v>
      </c>
      <c r="AL265" s="210">
        <f t="shared" si="264"/>
        <v>0</v>
      </c>
    </row>
    <row r="266" spans="2:46" ht="39.6" customHeight="1">
      <c r="B266" s="48" t="s">
        <v>209</v>
      </c>
      <c r="C266" s="186" t="s">
        <v>396</v>
      </c>
      <c r="D266" s="14"/>
      <c r="E266" s="181" t="s">
        <v>717</v>
      </c>
      <c r="F266" s="16" t="s">
        <v>208</v>
      </c>
      <c r="G266" s="16"/>
      <c r="H266" s="181">
        <v>2021</v>
      </c>
      <c r="I266" s="181">
        <v>2025</v>
      </c>
      <c r="J266" s="41">
        <f>'[1]Summary for IPSIS'!$H$202+'[1]Summary for IPSIS'!$I$202</f>
        <v>2160000</v>
      </c>
      <c r="K266" s="31">
        <f>'[1]Summary for IPSIS'!$J$202</f>
        <v>0</v>
      </c>
      <c r="L266" s="39">
        <f t="shared" si="265"/>
        <v>2160000</v>
      </c>
      <c r="M266" s="41">
        <f>'[1]Summary for IPSIS'!$T$202+'[1]Summary for IPSIS'!$U$202</f>
        <v>0</v>
      </c>
      <c r="N266" s="31">
        <f>'[1]Summary for IPSIS'!$V$202</f>
        <v>0</v>
      </c>
      <c r="O266" s="39">
        <f t="shared" si="266"/>
        <v>0</v>
      </c>
      <c r="P266" s="34">
        <f>'[1]Summary for IPSIS'!$AF$202+'[1]Summary for IPSIS'!$AG$202</f>
        <v>2160000</v>
      </c>
      <c r="Q266" s="39">
        <f>'[1]Summary for IPSIS'!$AH$202</f>
        <v>0</v>
      </c>
      <c r="R266" s="39">
        <f t="shared" si="267"/>
        <v>2160000</v>
      </c>
      <c r="S266" s="34">
        <f>'[1]Summary for IPSIS'!$AR$202+'[1]Summary for IPSIS'!$AS$202</f>
        <v>0</v>
      </c>
      <c r="T266" s="39">
        <f>'[1]Summary for IPSIS'!$AT$202</f>
        <v>0</v>
      </c>
      <c r="U266" s="39">
        <f t="shared" si="268"/>
        <v>0</v>
      </c>
      <c r="V266" s="34">
        <f>'[1]Summary for IPSIS'!$BD$202+'[1]Summary for IPSIS'!$BE$202</f>
        <v>2160000</v>
      </c>
      <c r="W266" s="39">
        <f>'[1]Summary for IPSIS'!$BF$202</f>
        <v>0</v>
      </c>
      <c r="X266" s="39">
        <f t="shared" si="269"/>
        <v>2160000</v>
      </c>
      <c r="Y266" s="39">
        <f t="shared" si="270"/>
        <v>6480000</v>
      </c>
      <c r="Z266" s="39">
        <f t="shared" si="271"/>
        <v>0</v>
      </c>
      <c r="AA266" s="39">
        <f t="shared" si="272"/>
        <v>6480000</v>
      </c>
      <c r="AB266" s="34">
        <f>2160000+2160000</f>
        <v>4320000</v>
      </c>
      <c r="AC266" s="39">
        <f>0</f>
        <v>0</v>
      </c>
      <c r="AD266" s="39">
        <f t="shared" si="273"/>
        <v>4320000</v>
      </c>
      <c r="AE266" s="34">
        <f>0</f>
        <v>0</v>
      </c>
      <c r="AF266" s="39">
        <f>0</f>
        <v>0</v>
      </c>
      <c r="AG266" s="39"/>
      <c r="AH266" s="39">
        <f t="shared" si="274"/>
        <v>0</v>
      </c>
      <c r="AI266" s="34">
        <f>2160000</f>
        <v>2160000</v>
      </c>
      <c r="AJ266" s="39">
        <f>0</f>
        <v>0</v>
      </c>
      <c r="AK266" s="39">
        <f t="shared" si="275"/>
        <v>2160000</v>
      </c>
      <c r="AL266" s="210">
        <f t="shared" si="264"/>
        <v>0</v>
      </c>
    </row>
    <row r="267" spans="2:46" ht="45.6" customHeight="1">
      <c r="B267" s="48" t="s">
        <v>210</v>
      </c>
      <c r="C267" s="186" t="s">
        <v>215</v>
      </c>
      <c r="D267" s="14"/>
      <c r="E267" s="181" t="s">
        <v>717</v>
      </c>
      <c r="F267" s="16" t="s">
        <v>208</v>
      </c>
      <c r="G267" s="16"/>
      <c r="H267" s="181">
        <v>2021</v>
      </c>
      <c r="I267" s="181">
        <v>2025</v>
      </c>
      <c r="J267" s="41">
        <f>'[1]Summary for IPSIS'!$H$203+'[1]Summary for IPSIS'!$I$203</f>
        <v>300000</v>
      </c>
      <c r="K267" s="31">
        <f>'[1]Summary for IPSIS'!$J$203</f>
        <v>0</v>
      </c>
      <c r="L267" s="39">
        <f t="shared" si="265"/>
        <v>300000</v>
      </c>
      <c r="M267" s="41">
        <f>'[1]Summary for IPSIS'!$T$203+'[1]Summary for IPSIS'!$U$203</f>
        <v>0</v>
      </c>
      <c r="N267" s="31">
        <f>'[1]Summary for IPSIS'!$V$203</f>
        <v>0</v>
      </c>
      <c r="O267" s="39">
        <f t="shared" si="266"/>
        <v>0</v>
      </c>
      <c r="P267" s="34">
        <f>'[1]Summary for IPSIS'!$AF$203+'[1]Summary for IPSIS'!$AG$203</f>
        <v>300000</v>
      </c>
      <c r="Q267" s="39">
        <f>'[1]Summary for IPSIS'!$AH$203</f>
        <v>0</v>
      </c>
      <c r="R267" s="39">
        <f t="shared" si="267"/>
        <v>300000</v>
      </c>
      <c r="S267" s="34">
        <f>'[1]Summary for IPSIS'!$AR$203+'[1]Summary for IPSIS'!$AS$203</f>
        <v>0</v>
      </c>
      <c r="T267" s="39">
        <f>'[1]Summary for IPSIS'!$AT$203</f>
        <v>0</v>
      </c>
      <c r="U267" s="39">
        <f t="shared" si="268"/>
        <v>0</v>
      </c>
      <c r="V267" s="34">
        <f>'[1]Summary for IPSIS'!$BD$203+'[1]Summary for IPSIS'!$BE$203</f>
        <v>300000</v>
      </c>
      <c r="W267" s="39">
        <f>'[1]Summary for IPSIS'!$BF$203</f>
        <v>0</v>
      </c>
      <c r="X267" s="39">
        <f t="shared" si="269"/>
        <v>300000</v>
      </c>
      <c r="Y267" s="39">
        <f t="shared" si="270"/>
        <v>900000</v>
      </c>
      <c r="Z267" s="39">
        <f t="shared" si="271"/>
        <v>0</v>
      </c>
      <c r="AA267" s="39">
        <f t="shared" si="272"/>
        <v>900000</v>
      </c>
      <c r="AB267" s="34">
        <f>300000+300000</f>
        <v>600000</v>
      </c>
      <c r="AC267" s="39">
        <f>0</f>
        <v>0</v>
      </c>
      <c r="AD267" s="39">
        <f t="shared" si="273"/>
        <v>600000</v>
      </c>
      <c r="AE267" s="34">
        <f>0</f>
        <v>0</v>
      </c>
      <c r="AF267" s="39">
        <f>0</f>
        <v>0</v>
      </c>
      <c r="AG267" s="39"/>
      <c r="AH267" s="39">
        <f t="shared" si="274"/>
        <v>0</v>
      </c>
      <c r="AI267" s="34">
        <f>300000</f>
        <v>300000</v>
      </c>
      <c r="AJ267" s="39">
        <f>0</f>
        <v>0</v>
      </c>
      <c r="AK267" s="39">
        <f t="shared" si="275"/>
        <v>300000</v>
      </c>
      <c r="AL267" s="210">
        <f t="shared" si="264"/>
        <v>0</v>
      </c>
    </row>
    <row r="268" spans="2:46" ht="45.6" customHeight="1">
      <c r="B268" s="48" t="s">
        <v>211</v>
      </c>
      <c r="C268" s="186" t="s">
        <v>397</v>
      </c>
      <c r="D268" s="14"/>
      <c r="E268" s="181" t="s">
        <v>717</v>
      </c>
      <c r="F268" s="16" t="s">
        <v>208</v>
      </c>
      <c r="G268" s="16"/>
      <c r="H268" s="181">
        <v>2021</v>
      </c>
      <c r="I268" s="181">
        <v>2025</v>
      </c>
      <c r="J268" s="41">
        <f>'[1]Summary for IPSIS'!$H$204+'[1]Summary for IPSIS'!$I$204</f>
        <v>0</v>
      </c>
      <c r="K268" s="31">
        <f>'[1]Summary for IPSIS'!$J$204</f>
        <v>0</v>
      </c>
      <c r="L268" s="39">
        <f t="shared" si="265"/>
        <v>0</v>
      </c>
      <c r="M268" s="41">
        <f>'[1]Summary for IPSIS'!$T$204+'[1]Summary for IPSIS'!$U$204</f>
        <v>0</v>
      </c>
      <c r="N268" s="31">
        <f>'[1]Summary for IPSIS'!$V$204</f>
        <v>0</v>
      </c>
      <c r="O268" s="39">
        <f t="shared" si="266"/>
        <v>0</v>
      </c>
      <c r="P268" s="34">
        <f>'[1]Summary for IPSIS'!$AF$204+'[1]Summary for IPSIS'!$AG$204</f>
        <v>313530</v>
      </c>
      <c r="Q268" s="39">
        <f>'[1]Summary for IPSIS'!$AH$204</f>
        <v>0</v>
      </c>
      <c r="R268" s="39">
        <f t="shared" si="267"/>
        <v>313530</v>
      </c>
      <c r="S268" s="34">
        <f>'[1]Summary for IPSIS'!$AR$204+'[1]Summary for IPSIS'!$AS$204</f>
        <v>0</v>
      </c>
      <c r="T268" s="39">
        <f>'[1]Summary for IPSIS'!$AT$204</f>
        <v>0</v>
      </c>
      <c r="U268" s="39">
        <f t="shared" si="268"/>
        <v>0</v>
      </c>
      <c r="V268" s="34">
        <f>'[1]Summary for IPSIS'!$BD$204+'[1]Summary for IPSIS'!$BE$204</f>
        <v>313530</v>
      </c>
      <c r="W268" s="39">
        <f>'[1]Summary for IPSIS'!$BF$204</f>
        <v>0</v>
      </c>
      <c r="X268" s="39">
        <f t="shared" si="269"/>
        <v>313530</v>
      </c>
      <c r="Y268" s="39">
        <f t="shared" si="270"/>
        <v>627060</v>
      </c>
      <c r="Z268" s="39">
        <f t="shared" si="271"/>
        <v>0</v>
      </c>
      <c r="AA268" s="39">
        <f t="shared" si="272"/>
        <v>627060</v>
      </c>
      <c r="AB268" s="34">
        <f>313530</f>
        <v>313530</v>
      </c>
      <c r="AC268" s="39">
        <f>0</f>
        <v>0</v>
      </c>
      <c r="AD268" s="39">
        <f t="shared" si="273"/>
        <v>313530</v>
      </c>
      <c r="AE268" s="34">
        <f>0</f>
        <v>0</v>
      </c>
      <c r="AF268" s="39">
        <f>0</f>
        <v>0</v>
      </c>
      <c r="AG268" s="39"/>
      <c r="AH268" s="39">
        <f t="shared" si="274"/>
        <v>0</v>
      </c>
      <c r="AI268" s="34">
        <f>313530</f>
        <v>313530</v>
      </c>
      <c r="AJ268" s="39">
        <f>0</f>
        <v>0</v>
      </c>
      <c r="AK268" s="39">
        <f t="shared" si="275"/>
        <v>313530</v>
      </c>
      <c r="AL268" s="210">
        <f t="shared" si="264"/>
        <v>0</v>
      </c>
    </row>
    <row r="269" spans="2:46" ht="54" customHeight="1">
      <c r="B269" s="48" t="s">
        <v>212</v>
      </c>
      <c r="C269" s="188" t="s">
        <v>398</v>
      </c>
      <c r="D269" s="14"/>
      <c r="E269" s="197" t="s">
        <v>717</v>
      </c>
      <c r="F269" s="16" t="s">
        <v>208</v>
      </c>
      <c r="G269" s="16"/>
      <c r="H269" s="181">
        <v>2025</v>
      </c>
      <c r="I269" s="181">
        <v>2025</v>
      </c>
      <c r="J269" s="41">
        <f>'[1]Summary for IPSIS'!$H$205+'[1]Summary for IPSIS'!$I$205</f>
        <v>0</v>
      </c>
      <c r="K269" s="31">
        <f>'[1]Summary for IPSIS'!$J$205</f>
        <v>0</v>
      </c>
      <c r="L269" s="39">
        <f t="shared" si="265"/>
        <v>0</v>
      </c>
      <c r="M269" s="41">
        <f>'[1]Summary for IPSIS'!$T$205+'[1]Summary for IPSIS'!$U$205</f>
        <v>0</v>
      </c>
      <c r="N269" s="31">
        <f>'[1]Summary for IPSIS'!$V$205</f>
        <v>0</v>
      </c>
      <c r="O269" s="39">
        <f t="shared" si="266"/>
        <v>0</v>
      </c>
      <c r="P269" s="34">
        <f>'[1]Summary for IPSIS'!$AF$205+'[1]Summary for IPSIS'!$AG$205</f>
        <v>0</v>
      </c>
      <c r="Q269" s="39">
        <f>'[1]Summary for IPSIS'!$AH$205</f>
        <v>0</v>
      </c>
      <c r="R269" s="39">
        <f t="shared" si="267"/>
        <v>0</v>
      </c>
      <c r="S269" s="34">
        <f>'[1]Summary for IPSIS'!$AR$205+'[1]Summary for IPSIS'!$AS$205</f>
        <v>0</v>
      </c>
      <c r="T269" s="39">
        <f>'[1]Summary for IPSIS'!$AT$205</f>
        <v>0</v>
      </c>
      <c r="U269" s="39">
        <f t="shared" si="268"/>
        <v>0</v>
      </c>
      <c r="V269" s="34">
        <f>'[1]Summary for IPSIS'!$BD$205+'[1]Summary for IPSIS'!$BE$205</f>
        <v>466040</v>
      </c>
      <c r="W269" s="39">
        <f>'[1]Summary for IPSIS'!$BF$205</f>
        <v>0</v>
      </c>
      <c r="X269" s="39">
        <f t="shared" si="269"/>
        <v>466040</v>
      </c>
      <c r="Y269" s="39">
        <f t="shared" si="270"/>
        <v>466040</v>
      </c>
      <c r="Z269" s="39">
        <f t="shared" si="271"/>
        <v>0</v>
      </c>
      <c r="AA269" s="39">
        <f t="shared" si="272"/>
        <v>466040</v>
      </c>
      <c r="AB269" s="34">
        <f>0</f>
        <v>0</v>
      </c>
      <c r="AC269" s="39">
        <f>0</f>
        <v>0</v>
      </c>
      <c r="AD269" s="39">
        <f t="shared" si="273"/>
        <v>0</v>
      </c>
      <c r="AE269" s="34">
        <f>0</f>
        <v>0</v>
      </c>
      <c r="AF269" s="39">
        <f>0</f>
        <v>0</v>
      </c>
      <c r="AG269" s="39"/>
      <c r="AH269" s="39">
        <f t="shared" si="274"/>
        <v>0</v>
      </c>
      <c r="AI269" s="34">
        <f>466040</f>
        <v>466040</v>
      </c>
      <c r="AJ269" s="39">
        <f>0</f>
        <v>0</v>
      </c>
      <c r="AK269" s="39">
        <f t="shared" si="275"/>
        <v>466040</v>
      </c>
      <c r="AL269" s="210">
        <f t="shared" si="264"/>
        <v>0</v>
      </c>
    </row>
    <row r="270" spans="2:46" ht="54.6" customHeight="1" thickBot="1">
      <c r="B270" s="233" t="s">
        <v>213</v>
      </c>
      <c r="C270" s="219" t="s">
        <v>214</v>
      </c>
      <c r="D270" s="20"/>
      <c r="E270" s="230" t="s">
        <v>717</v>
      </c>
      <c r="F270" s="21" t="s">
        <v>208</v>
      </c>
      <c r="G270" s="21"/>
      <c r="H270" s="182">
        <v>2023</v>
      </c>
      <c r="I270" s="182">
        <v>2023</v>
      </c>
      <c r="J270" s="74">
        <f>'[1]Summary for IPSIS'!$H$206+'[1]Summary for IPSIS'!$I$206</f>
        <v>0</v>
      </c>
      <c r="K270" s="215">
        <f>'[1]Summary for IPSIS'!$J$206</f>
        <v>0</v>
      </c>
      <c r="L270" s="82">
        <f t="shared" si="265"/>
        <v>0</v>
      </c>
      <c r="M270" s="74">
        <f>'[1]Summary for IPSIS'!$T$206+'[1]Summary for IPSIS'!$U$206</f>
        <v>0</v>
      </c>
      <c r="N270" s="215">
        <f>'[1]Summary for IPSIS'!$V$206</f>
        <v>0</v>
      </c>
      <c r="O270" s="82">
        <f t="shared" si="266"/>
        <v>0</v>
      </c>
      <c r="P270" s="234">
        <f>'[1]Summary for IPSIS'!$AF$206+'[1]Summary for IPSIS'!$AG$206</f>
        <v>1200000</v>
      </c>
      <c r="Q270" s="82">
        <f>'[1]Summary for IPSIS'!$AH$206</f>
        <v>0</v>
      </c>
      <c r="R270" s="82">
        <f t="shared" si="267"/>
        <v>1200000</v>
      </c>
      <c r="S270" s="234">
        <f>'[1]Summary for IPSIS'!$AR$206+'[1]Summary for IPSIS'!$AS$206</f>
        <v>0</v>
      </c>
      <c r="T270" s="82">
        <f>'[1]Summary for IPSIS'!$AT$206</f>
        <v>0</v>
      </c>
      <c r="U270" s="82">
        <f t="shared" si="268"/>
        <v>0</v>
      </c>
      <c r="V270" s="234">
        <f>'[1]Summary for IPSIS'!$BD$206+'[1]Summary for IPSIS'!$BE$206</f>
        <v>0</v>
      </c>
      <c r="W270" s="82">
        <f>'[1]Summary for IPSIS'!$BF$206</f>
        <v>0</v>
      </c>
      <c r="X270" s="82">
        <f t="shared" si="269"/>
        <v>0</v>
      </c>
      <c r="Y270" s="82">
        <f t="shared" si="270"/>
        <v>1200000</v>
      </c>
      <c r="Z270" s="82">
        <f t="shared" si="271"/>
        <v>0</v>
      </c>
      <c r="AA270" s="82">
        <f t="shared" si="272"/>
        <v>1200000</v>
      </c>
      <c r="AB270" s="234">
        <v>0</v>
      </c>
      <c r="AC270" s="82">
        <f>0</f>
        <v>0</v>
      </c>
      <c r="AD270" s="82">
        <f t="shared" si="273"/>
        <v>0</v>
      </c>
      <c r="AE270" s="234">
        <f>0</f>
        <v>0</v>
      </c>
      <c r="AF270" s="82">
        <f>0</f>
        <v>0</v>
      </c>
      <c r="AG270" s="82"/>
      <c r="AH270" s="82">
        <f t="shared" si="274"/>
        <v>0</v>
      </c>
      <c r="AI270" s="234">
        <f>0</f>
        <v>0</v>
      </c>
      <c r="AJ270" s="82">
        <f>0</f>
        <v>0</v>
      </c>
      <c r="AK270" s="82">
        <f t="shared" si="275"/>
        <v>0</v>
      </c>
      <c r="AL270" s="217">
        <f t="shared" si="264"/>
        <v>-1200000</v>
      </c>
    </row>
    <row r="271" spans="2:46" s="6" customFormat="1" ht="34.5" customHeight="1" thickBot="1">
      <c r="B271" s="58"/>
      <c r="C271" s="65" t="s">
        <v>84</v>
      </c>
      <c r="D271" s="66"/>
      <c r="E271" s="66"/>
      <c r="F271" s="56"/>
      <c r="G271" s="56"/>
      <c r="H271" s="56"/>
      <c r="I271" s="56"/>
      <c r="J271" s="57">
        <f t="shared" ref="J271:L271" si="276">SUM(J262:J270)</f>
        <v>6496800</v>
      </c>
      <c r="K271" s="57">
        <f t="shared" si="276"/>
        <v>0</v>
      </c>
      <c r="L271" s="57">
        <f t="shared" si="276"/>
        <v>6496800</v>
      </c>
      <c r="M271" s="57">
        <f t="shared" ref="M271:AL271" si="277">SUM(M262:M270)</f>
        <v>0</v>
      </c>
      <c r="N271" s="57">
        <f t="shared" si="277"/>
        <v>0</v>
      </c>
      <c r="O271" s="57">
        <f t="shared" si="277"/>
        <v>0</v>
      </c>
      <c r="P271" s="57">
        <f t="shared" si="277"/>
        <v>8637390</v>
      </c>
      <c r="Q271" s="57">
        <f t="shared" si="277"/>
        <v>0</v>
      </c>
      <c r="R271" s="57">
        <f t="shared" si="277"/>
        <v>8637390</v>
      </c>
      <c r="S271" s="57">
        <f t="shared" si="277"/>
        <v>0</v>
      </c>
      <c r="T271" s="57">
        <f t="shared" si="277"/>
        <v>0</v>
      </c>
      <c r="U271" s="57">
        <f t="shared" si="277"/>
        <v>0</v>
      </c>
      <c r="V271" s="57">
        <f t="shared" si="277"/>
        <v>7903430</v>
      </c>
      <c r="W271" s="57">
        <f t="shared" si="277"/>
        <v>0</v>
      </c>
      <c r="X271" s="57">
        <f t="shared" si="277"/>
        <v>7903430</v>
      </c>
      <c r="Y271" s="57">
        <f t="shared" si="277"/>
        <v>23037620</v>
      </c>
      <c r="Z271" s="57">
        <f t="shared" si="277"/>
        <v>0</v>
      </c>
      <c r="AA271" s="57">
        <f t="shared" si="277"/>
        <v>23037620</v>
      </c>
      <c r="AB271" s="57">
        <f t="shared" si="277"/>
        <v>13060590</v>
      </c>
      <c r="AC271" s="57">
        <f t="shared" si="277"/>
        <v>0</v>
      </c>
      <c r="AD271" s="57">
        <f t="shared" si="277"/>
        <v>13060590</v>
      </c>
      <c r="AE271" s="57">
        <f t="shared" si="277"/>
        <v>0</v>
      </c>
      <c r="AF271" s="57">
        <f t="shared" si="277"/>
        <v>0</v>
      </c>
      <c r="AG271" s="57"/>
      <c r="AH271" s="57">
        <f t="shared" si="277"/>
        <v>0</v>
      </c>
      <c r="AI271" s="57">
        <f t="shared" si="277"/>
        <v>7466630</v>
      </c>
      <c r="AJ271" s="57">
        <f t="shared" si="277"/>
        <v>0</v>
      </c>
      <c r="AK271" s="57">
        <f t="shared" si="277"/>
        <v>7466630</v>
      </c>
      <c r="AL271" s="218">
        <f t="shared" si="277"/>
        <v>-2510400</v>
      </c>
      <c r="AM271" s="36"/>
      <c r="AN271" s="36"/>
      <c r="AO271" s="36"/>
      <c r="AP271" s="36"/>
      <c r="AQ271" s="36"/>
      <c r="AR271" s="36"/>
      <c r="AS271" s="36"/>
      <c r="AT271" s="36"/>
    </row>
    <row r="272" spans="2:46" ht="47.4" customHeight="1">
      <c r="B272" s="161">
        <v>7.2</v>
      </c>
      <c r="C272" s="283" t="s">
        <v>206</v>
      </c>
      <c r="D272" s="284"/>
      <c r="E272" s="208"/>
      <c r="F272" s="75"/>
      <c r="G272" s="75"/>
      <c r="H272" s="81"/>
      <c r="I272" s="81"/>
      <c r="J272" s="80"/>
      <c r="K272" s="80"/>
      <c r="L272" s="78"/>
      <c r="M272" s="80"/>
      <c r="N272" s="80"/>
      <c r="O272" s="78"/>
      <c r="P272" s="80"/>
      <c r="Q272" s="78"/>
      <c r="R272" s="78"/>
      <c r="S272" s="80"/>
      <c r="T272" s="78"/>
      <c r="U272" s="78"/>
      <c r="V272" s="80"/>
      <c r="W272" s="78"/>
      <c r="X272" s="78"/>
      <c r="Y272" s="78"/>
      <c r="Z272" s="78"/>
      <c r="AA272" s="78"/>
      <c r="AB272" s="80"/>
      <c r="AC272" s="78"/>
      <c r="AD272" s="78"/>
      <c r="AE272" s="80"/>
      <c r="AF272" s="78"/>
      <c r="AG272" s="78"/>
      <c r="AH272" s="78"/>
      <c r="AI272" s="80"/>
      <c r="AJ272" s="78"/>
      <c r="AK272" s="78"/>
      <c r="AL272" s="79"/>
    </row>
    <row r="273" spans="2:46" ht="22.8" customHeight="1">
      <c r="B273" s="162"/>
      <c r="C273" s="113" t="s">
        <v>141</v>
      </c>
      <c r="D273" s="60"/>
      <c r="E273" s="60"/>
      <c r="F273" s="18"/>
      <c r="G273" s="18"/>
      <c r="H273" s="15"/>
      <c r="I273" s="15"/>
      <c r="J273" s="34"/>
      <c r="K273" s="34"/>
      <c r="L273" s="39"/>
      <c r="M273" s="34"/>
      <c r="N273" s="34"/>
      <c r="O273" s="39"/>
      <c r="P273" s="34"/>
      <c r="Q273" s="39"/>
      <c r="R273" s="39"/>
      <c r="S273" s="34"/>
      <c r="T273" s="39"/>
      <c r="U273" s="39"/>
      <c r="V273" s="34"/>
      <c r="W273" s="39"/>
      <c r="X273" s="39"/>
      <c r="Y273" s="39"/>
      <c r="Z273" s="39"/>
      <c r="AA273" s="39"/>
      <c r="AB273" s="34"/>
      <c r="AC273" s="39"/>
      <c r="AD273" s="39"/>
      <c r="AE273" s="34"/>
      <c r="AF273" s="39"/>
      <c r="AG273" s="39"/>
      <c r="AH273" s="39"/>
      <c r="AI273" s="34"/>
      <c r="AJ273" s="39"/>
      <c r="AK273" s="39"/>
      <c r="AL273" s="40"/>
    </row>
    <row r="274" spans="2:46" ht="50.4" customHeight="1">
      <c r="B274" s="162" t="s">
        <v>61</v>
      </c>
      <c r="C274" s="186" t="s">
        <v>227</v>
      </c>
      <c r="D274" s="203"/>
      <c r="E274" s="201" t="s">
        <v>428</v>
      </c>
      <c r="F274" s="18" t="s">
        <v>222</v>
      </c>
      <c r="G274" s="18"/>
      <c r="H274" s="199">
        <v>2021</v>
      </c>
      <c r="I274" s="199">
        <v>2025</v>
      </c>
      <c r="J274" s="34">
        <f>'[1]Summary for IPSIS'!$H$208+'[1]Summary for IPSIS'!$I$208</f>
        <v>158368</v>
      </c>
      <c r="K274" s="34">
        <f>'[1]Summary for IPSIS'!$J$208</f>
        <v>0</v>
      </c>
      <c r="L274" s="39">
        <f>SUM(J274:K274)</f>
        <v>158368</v>
      </c>
      <c r="M274" s="34">
        <f>'[1]Summary for IPSIS'!$T$208+'[1]Summary for IPSIS'!$U$208</f>
        <v>0</v>
      </c>
      <c r="N274" s="34">
        <f>'[1]Summary for IPSIS'!$V$208</f>
        <v>0</v>
      </c>
      <c r="O274" s="39">
        <f>SUM(M274:N274)</f>
        <v>0</v>
      </c>
      <c r="P274" s="34">
        <f>'[1]Summary for IPSIS'!$AF$208+'[1]Summary for IPSIS'!$AG$208</f>
        <v>0</v>
      </c>
      <c r="Q274" s="39">
        <f>'[1]Summary for IPSIS'!$AH$208</f>
        <v>0</v>
      </c>
      <c r="R274" s="39">
        <f>SUM(P274:Q274)</f>
        <v>0</v>
      </c>
      <c r="S274" s="34">
        <f>'[1]Summary for IPSIS'!$AR$208+'[1]Summary for IPSIS'!$AS$208</f>
        <v>0</v>
      </c>
      <c r="T274" s="39">
        <f>'[1]Summary for IPSIS'!$AT$208</f>
        <v>0</v>
      </c>
      <c r="U274" s="39">
        <f>SUM(S274:T274)</f>
        <v>0</v>
      </c>
      <c r="V274" s="34">
        <f>'[1]Summary for IPSIS'!$BD$208+'[1]Summary for IPSIS'!$BE$208</f>
        <v>0</v>
      </c>
      <c r="W274" s="39">
        <f>'[1]Summary for IPSIS'!$BF$208</f>
        <v>0</v>
      </c>
      <c r="X274" s="39">
        <f>SUM(V274:W274)</f>
        <v>0</v>
      </c>
      <c r="Y274" s="39">
        <f>J274+M274+P274+S274+V274</f>
        <v>158368</v>
      </c>
      <c r="Z274" s="39">
        <f>K274+N274+Q274+T274+W274</f>
        <v>0</v>
      </c>
      <c r="AA274" s="39">
        <f>SUM(Y274:Z274)</f>
        <v>158368</v>
      </c>
      <c r="AB274" s="34">
        <f>158368+0+0</f>
        <v>158368</v>
      </c>
      <c r="AC274" s="39">
        <f>0</f>
        <v>0</v>
      </c>
      <c r="AD274" s="39">
        <f>SUM(AB274:AC274)</f>
        <v>158368</v>
      </c>
      <c r="AE274" s="34">
        <f>0</f>
        <v>0</v>
      </c>
      <c r="AF274" s="39">
        <f>0</f>
        <v>0</v>
      </c>
      <c r="AG274" s="39"/>
      <c r="AH274" s="39">
        <f>SUM(AE274:AF274)</f>
        <v>0</v>
      </c>
      <c r="AI274" s="34">
        <f>0</f>
        <v>0</v>
      </c>
      <c r="AJ274" s="39">
        <f>0</f>
        <v>0</v>
      </c>
      <c r="AK274" s="39">
        <f>SUM(AI274:AJ274)</f>
        <v>0</v>
      </c>
      <c r="AL274" s="210">
        <f t="shared" ref="AL274:AL279" si="278">SUM(AK274+AH274+AD274)-AA274</f>
        <v>0</v>
      </c>
    </row>
    <row r="275" spans="2:46" ht="48" customHeight="1">
      <c r="B275" s="162" t="s">
        <v>216</v>
      </c>
      <c r="C275" s="186" t="s">
        <v>226</v>
      </c>
      <c r="D275" s="203"/>
      <c r="E275" s="201" t="s">
        <v>719</v>
      </c>
      <c r="F275" s="18" t="s">
        <v>222</v>
      </c>
      <c r="G275" s="18"/>
      <c r="H275" s="199">
        <v>2021</v>
      </c>
      <c r="I275" s="199">
        <v>2025</v>
      </c>
      <c r="J275" s="34">
        <f>'[1]Summary for IPSIS'!$H$209+'[1]Summary for IPSIS'!$I$209</f>
        <v>79184</v>
      </c>
      <c r="K275" s="34">
        <f>'[1]Summary for IPSIS'!$J$209</f>
        <v>0</v>
      </c>
      <c r="L275" s="39">
        <f t="shared" ref="L275:L279" si="279">SUM(J275:K275)</f>
        <v>79184</v>
      </c>
      <c r="M275" s="34">
        <f>'[1]Summary for IPSIS'!$T$209+'[1]Summary for IPSIS'!$U$209</f>
        <v>79184</v>
      </c>
      <c r="N275" s="34">
        <f>'[1]Summary for IPSIS'!$V$209</f>
        <v>0</v>
      </c>
      <c r="O275" s="39">
        <f t="shared" ref="O275:O279" si="280">SUM(M275:N275)</f>
        <v>79184</v>
      </c>
      <c r="P275" s="34">
        <f>'[1]Summary for IPSIS'!$AF$209+'[1]Summary for IPSIS'!$AG$209</f>
        <v>79184</v>
      </c>
      <c r="Q275" s="39">
        <f>'[1]Summary for IPSIS'!$AH$209</f>
        <v>0</v>
      </c>
      <c r="R275" s="39">
        <f t="shared" ref="R275:R279" si="281">SUM(P275:Q275)</f>
        <v>79184</v>
      </c>
      <c r="S275" s="34">
        <f>'[1]Summary for IPSIS'!$AR$209+'[1]Summary for IPSIS'!$AS$209</f>
        <v>79184</v>
      </c>
      <c r="T275" s="39">
        <f>'[1]Summary for IPSIS'!$AT$209</f>
        <v>0</v>
      </c>
      <c r="U275" s="39">
        <f t="shared" ref="U275:U279" si="282">SUM(S275:T275)</f>
        <v>79184</v>
      </c>
      <c r="V275" s="34">
        <f>'[1]Summary for IPSIS'!$BD$209+'[1]Summary for IPSIS'!$BE$209</f>
        <v>79184</v>
      </c>
      <c r="W275" s="39">
        <f>'[1]Summary for IPSIS'!$BF$209</f>
        <v>0</v>
      </c>
      <c r="X275" s="39">
        <f t="shared" ref="X275:X279" si="283">SUM(V275:W275)</f>
        <v>79184</v>
      </c>
      <c r="Y275" s="39">
        <f t="shared" ref="Y275:Y279" si="284">J275+M275+P275+S275+V275</f>
        <v>395920</v>
      </c>
      <c r="Z275" s="39">
        <f t="shared" ref="Z275:Z279" si="285">K275+N275+Q275+T275+W275</f>
        <v>0</v>
      </c>
      <c r="AA275" s="39">
        <f t="shared" ref="AA275:AA279" si="286">SUM(Y275:Z275)</f>
        <v>395920</v>
      </c>
      <c r="AB275" s="34">
        <f>79184+79184+79184</f>
        <v>237552</v>
      </c>
      <c r="AC275" s="39">
        <f>0</f>
        <v>0</v>
      </c>
      <c r="AD275" s="39">
        <f t="shared" ref="AD275:AD279" si="287">SUM(AB275:AC275)</f>
        <v>237552</v>
      </c>
      <c r="AE275" s="34">
        <f>0</f>
        <v>0</v>
      </c>
      <c r="AF275" s="39">
        <f>0</f>
        <v>0</v>
      </c>
      <c r="AG275" s="39"/>
      <c r="AH275" s="39">
        <f t="shared" ref="AH275:AH279" si="288">SUM(AE275:AF275)</f>
        <v>0</v>
      </c>
      <c r="AI275" s="34">
        <f>79184+79184</f>
        <v>158368</v>
      </c>
      <c r="AJ275" s="39">
        <f>0</f>
        <v>0</v>
      </c>
      <c r="AK275" s="39">
        <f t="shared" ref="AK275:AK279" si="289">SUM(AI275:AJ275)</f>
        <v>158368</v>
      </c>
      <c r="AL275" s="210">
        <f t="shared" si="278"/>
        <v>0</v>
      </c>
    </row>
    <row r="276" spans="2:46" ht="50.4" customHeight="1">
      <c r="B276" s="162" t="s">
        <v>217</v>
      </c>
      <c r="C276" s="188" t="s">
        <v>225</v>
      </c>
      <c r="D276" s="203"/>
      <c r="E276" s="189" t="s">
        <v>719</v>
      </c>
      <c r="F276" s="18" t="s">
        <v>222</v>
      </c>
      <c r="G276" s="18"/>
      <c r="H276" s="200">
        <v>2021</v>
      </c>
      <c r="I276" s="200">
        <v>2022</v>
      </c>
      <c r="J276" s="34">
        <f>'[1]Summary for IPSIS'!$H$210+'[1]Summary for IPSIS'!$I$210</f>
        <v>338688</v>
      </c>
      <c r="K276" s="34">
        <f>'[1]Summary for IPSIS'!$J$210</f>
        <v>0</v>
      </c>
      <c r="L276" s="39">
        <f t="shared" si="279"/>
        <v>338688</v>
      </c>
      <c r="M276" s="34">
        <f>'[1]Summary for IPSIS'!$T$210+'[1]Summary for IPSIS'!$U$210</f>
        <v>338688</v>
      </c>
      <c r="N276" s="34">
        <f>'[1]Summary for IPSIS'!$V$210</f>
        <v>0</v>
      </c>
      <c r="O276" s="39">
        <f t="shared" si="280"/>
        <v>338688</v>
      </c>
      <c r="P276" s="34">
        <f>'[1]Summary for IPSIS'!$AF$210+'[1]Summary for IPSIS'!$AG$210</f>
        <v>0</v>
      </c>
      <c r="Q276" s="39">
        <f>'[1]Summary for IPSIS'!$AH$210</f>
        <v>0</v>
      </c>
      <c r="R276" s="39">
        <f t="shared" si="281"/>
        <v>0</v>
      </c>
      <c r="S276" s="34">
        <f>'[1]Summary for IPSIS'!$AR$210+'[1]Summary for IPSIS'!$AS$210</f>
        <v>0</v>
      </c>
      <c r="T276" s="39">
        <f>'[1]Summary for IPSIS'!$AT$210</f>
        <v>0</v>
      </c>
      <c r="U276" s="39">
        <f t="shared" si="282"/>
        <v>0</v>
      </c>
      <c r="V276" s="34">
        <f>'[1]Summary for IPSIS'!$BD$210+'[1]Summary for IPSIS'!$BE$210</f>
        <v>0</v>
      </c>
      <c r="W276" s="39">
        <f>'[1]Summary for IPSIS'!$BF$210</f>
        <v>0</v>
      </c>
      <c r="X276" s="39">
        <f t="shared" si="283"/>
        <v>0</v>
      </c>
      <c r="Y276" s="39">
        <f t="shared" si="284"/>
        <v>677376</v>
      </c>
      <c r="Z276" s="39">
        <f t="shared" si="285"/>
        <v>0</v>
      </c>
      <c r="AA276" s="39">
        <f t="shared" si="286"/>
        <v>677376</v>
      </c>
      <c r="AB276" s="34">
        <f>338688+338688+0</f>
        <v>677376</v>
      </c>
      <c r="AC276" s="39">
        <f>0</f>
        <v>0</v>
      </c>
      <c r="AD276" s="39">
        <f t="shared" si="287"/>
        <v>677376</v>
      </c>
      <c r="AE276" s="34">
        <f>0</f>
        <v>0</v>
      </c>
      <c r="AF276" s="39">
        <f>0</f>
        <v>0</v>
      </c>
      <c r="AG276" s="39"/>
      <c r="AH276" s="39">
        <f t="shared" si="288"/>
        <v>0</v>
      </c>
      <c r="AI276" s="34">
        <f>0</f>
        <v>0</v>
      </c>
      <c r="AJ276" s="39">
        <f>0</f>
        <v>0</v>
      </c>
      <c r="AK276" s="39">
        <f t="shared" si="289"/>
        <v>0</v>
      </c>
      <c r="AL276" s="210">
        <f t="shared" si="278"/>
        <v>0</v>
      </c>
    </row>
    <row r="277" spans="2:46" ht="38.4" customHeight="1">
      <c r="B277" s="162" t="s">
        <v>218</v>
      </c>
      <c r="C277" s="188" t="s">
        <v>224</v>
      </c>
      <c r="D277" s="203"/>
      <c r="E277" s="189" t="s">
        <v>719</v>
      </c>
      <c r="F277" s="18" t="s">
        <v>222</v>
      </c>
      <c r="G277" s="18"/>
      <c r="H277" s="200">
        <v>2021</v>
      </c>
      <c r="I277" s="200">
        <v>2025</v>
      </c>
      <c r="J277" s="34">
        <f>'[1]Summary for IPSIS'!$H$211+'[1]Summary for IPSIS'!$I$211</f>
        <v>1680000</v>
      </c>
      <c r="K277" s="34">
        <f>'[1]Summary for IPSIS'!$J$211</f>
        <v>0</v>
      </c>
      <c r="L277" s="39">
        <f t="shared" si="279"/>
        <v>1680000</v>
      </c>
      <c r="M277" s="34">
        <f>'[1]Summary for IPSIS'!$T$211+'[1]Summary for IPSIS'!$U$211</f>
        <v>1680000</v>
      </c>
      <c r="N277" s="34">
        <f>'[1]Summary for IPSIS'!$V$211</f>
        <v>0</v>
      </c>
      <c r="O277" s="39">
        <f t="shared" si="280"/>
        <v>1680000</v>
      </c>
      <c r="P277" s="34">
        <f>'[1]Summary for IPSIS'!$AF$211+'[1]Summary for IPSIS'!$AG$211</f>
        <v>1680000</v>
      </c>
      <c r="Q277" s="39">
        <f>'[1]Summary for IPSIS'!$AH$211</f>
        <v>0</v>
      </c>
      <c r="R277" s="39">
        <f t="shared" si="281"/>
        <v>1680000</v>
      </c>
      <c r="S277" s="34">
        <f>'[1]Summary for IPSIS'!$AR$211+'[1]Summary for IPSIS'!$AS$211</f>
        <v>1680000</v>
      </c>
      <c r="T277" s="39">
        <f>'[1]Summary for IPSIS'!$AT$211</f>
        <v>0</v>
      </c>
      <c r="U277" s="39">
        <f t="shared" si="282"/>
        <v>1680000</v>
      </c>
      <c r="V277" s="34">
        <f>'[1]Summary for IPSIS'!$BD$211+'[1]Summary for IPSIS'!$BE$211</f>
        <v>1680000</v>
      </c>
      <c r="W277" s="39">
        <f>'[1]Summary for IPSIS'!$BF$211</f>
        <v>0</v>
      </c>
      <c r="X277" s="39">
        <f t="shared" si="283"/>
        <v>1680000</v>
      </c>
      <c r="Y277" s="39">
        <f t="shared" si="284"/>
        <v>8400000</v>
      </c>
      <c r="Z277" s="39">
        <f t="shared" si="285"/>
        <v>0</v>
      </c>
      <c r="AA277" s="39">
        <f t="shared" si="286"/>
        <v>8400000</v>
      </c>
      <c r="AB277" s="34">
        <f>1680000+1680000+1680000</f>
        <v>5040000</v>
      </c>
      <c r="AC277" s="39">
        <f>0</f>
        <v>0</v>
      </c>
      <c r="AD277" s="39">
        <f t="shared" si="287"/>
        <v>5040000</v>
      </c>
      <c r="AE277" s="34">
        <f>0</f>
        <v>0</v>
      </c>
      <c r="AF277" s="39">
        <f>0</f>
        <v>0</v>
      </c>
      <c r="AG277" s="39"/>
      <c r="AH277" s="39">
        <f t="shared" si="288"/>
        <v>0</v>
      </c>
      <c r="AI277" s="34">
        <f>1680000+1680000</f>
        <v>3360000</v>
      </c>
      <c r="AJ277" s="39">
        <f>0</f>
        <v>0</v>
      </c>
      <c r="AK277" s="39">
        <f t="shared" si="289"/>
        <v>3360000</v>
      </c>
      <c r="AL277" s="210">
        <f t="shared" si="278"/>
        <v>0</v>
      </c>
    </row>
    <row r="278" spans="2:46" ht="42" customHeight="1">
      <c r="B278" s="162" t="s">
        <v>219</v>
      </c>
      <c r="C278" s="195" t="s">
        <v>223</v>
      </c>
      <c r="D278" s="203"/>
      <c r="E278" s="201" t="s">
        <v>720</v>
      </c>
      <c r="F278" s="18" t="s">
        <v>222</v>
      </c>
      <c r="G278" s="18" t="s">
        <v>188</v>
      </c>
      <c r="H278" s="199">
        <v>2021</v>
      </c>
      <c r="I278" s="199">
        <v>2021</v>
      </c>
      <c r="J278" s="34">
        <f>'[1]Summary for IPSIS'!$H$212+'[1]Summary for IPSIS'!$I$212</f>
        <v>158368</v>
      </c>
      <c r="K278" s="34">
        <f>'[1]Summary for IPSIS'!$J$212</f>
        <v>0</v>
      </c>
      <c r="L278" s="39">
        <f t="shared" si="279"/>
        <v>158368</v>
      </c>
      <c r="M278" s="34">
        <f>'[1]Summary for IPSIS'!$T$212+'[1]Summary for IPSIS'!$U$212</f>
        <v>79184</v>
      </c>
      <c r="N278" s="34">
        <f>'[1]Summary for IPSIS'!$V$212</f>
        <v>0</v>
      </c>
      <c r="O278" s="39">
        <f t="shared" si="280"/>
        <v>79184</v>
      </c>
      <c r="P278" s="34">
        <f>'[1]Summary for IPSIS'!$AF$212+'[1]Summary for IPSIS'!$AG$212</f>
        <v>79184</v>
      </c>
      <c r="Q278" s="39">
        <f>'[1]Summary for IPSIS'!$AH$212</f>
        <v>0</v>
      </c>
      <c r="R278" s="39">
        <f t="shared" si="281"/>
        <v>79184</v>
      </c>
      <c r="S278" s="34">
        <f>'[1]Summary for IPSIS'!$AR$212+'[1]Summary for IPSIS'!$AS$212</f>
        <v>79184</v>
      </c>
      <c r="T278" s="39">
        <f>'[1]Summary for IPSIS'!$AT$212</f>
        <v>0</v>
      </c>
      <c r="U278" s="39">
        <f t="shared" si="282"/>
        <v>79184</v>
      </c>
      <c r="V278" s="34">
        <f>'[1]Summary for IPSIS'!$BD$212+'[1]Summary for IPSIS'!$BE$212</f>
        <v>79184</v>
      </c>
      <c r="W278" s="39">
        <f>'[1]Summary for IPSIS'!$BF$212</f>
        <v>0</v>
      </c>
      <c r="X278" s="39">
        <f t="shared" si="283"/>
        <v>79184</v>
      </c>
      <c r="Y278" s="39">
        <f t="shared" si="284"/>
        <v>475104</v>
      </c>
      <c r="Z278" s="39">
        <f t="shared" si="285"/>
        <v>0</v>
      </c>
      <c r="AA278" s="39">
        <f t="shared" si="286"/>
        <v>475104</v>
      </c>
      <c r="AB278" s="34">
        <f>158368+79184+79184</f>
        <v>316736</v>
      </c>
      <c r="AC278" s="39">
        <f>0</f>
        <v>0</v>
      </c>
      <c r="AD278" s="39">
        <f t="shared" si="287"/>
        <v>316736</v>
      </c>
      <c r="AE278" s="34">
        <f>0</f>
        <v>0</v>
      </c>
      <c r="AF278" s="39">
        <f>0</f>
        <v>0</v>
      </c>
      <c r="AG278" s="39"/>
      <c r="AH278" s="39">
        <f t="shared" si="288"/>
        <v>0</v>
      </c>
      <c r="AI278" s="34">
        <f>79184+79184</f>
        <v>158368</v>
      </c>
      <c r="AJ278" s="39">
        <f>0</f>
        <v>0</v>
      </c>
      <c r="AK278" s="39">
        <f t="shared" si="289"/>
        <v>158368</v>
      </c>
      <c r="AL278" s="210">
        <f t="shared" si="278"/>
        <v>0</v>
      </c>
    </row>
    <row r="279" spans="2:46" ht="33" customHeight="1" thickBot="1">
      <c r="B279" s="233" t="s">
        <v>220</v>
      </c>
      <c r="C279" s="211" t="s">
        <v>221</v>
      </c>
      <c r="D279" s="178"/>
      <c r="E279" s="213" t="s">
        <v>720</v>
      </c>
      <c r="F279" s="21" t="s">
        <v>222</v>
      </c>
      <c r="G279" s="21" t="s">
        <v>754</v>
      </c>
      <c r="H279" s="235">
        <v>2022</v>
      </c>
      <c r="I279" s="235">
        <v>2023</v>
      </c>
      <c r="J279" s="234">
        <f>'[1]Summary for IPSIS'!$H$213+'[1]Summary for IPSIS'!$I$213</f>
        <v>90440</v>
      </c>
      <c r="K279" s="234">
        <f>'[1]Summary for IPSIS'!$J$213</f>
        <v>0</v>
      </c>
      <c r="L279" s="82">
        <f t="shared" si="279"/>
        <v>90440</v>
      </c>
      <c r="M279" s="234">
        <f>'[1]Summary for IPSIS'!$T$213+'[1]Summary for IPSIS'!$U$213</f>
        <v>90440</v>
      </c>
      <c r="N279" s="234">
        <f>'[1]Summary for IPSIS'!$V$213</f>
        <v>0</v>
      </c>
      <c r="O279" s="82">
        <f t="shared" si="280"/>
        <v>90440</v>
      </c>
      <c r="P279" s="234">
        <f>'[1]Summary for IPSIS'!$AF$213+'[1]Summary for IPSIS'!$AG$213</f>
        <v>0</v>
      </c>
      <c r="Q279" s="82">
        <f>'[1]Summary for IPSIS'!$AH$213</f>
        <v>0</v>
      </c>
      <c r="R279" s="82">
        <f t="shared" si="281"/>
        <v>0</v>
      </c>
      <c r="S279" s="234">
        <f>'[1]Summary for IPSIS'!$AR$208+'[1]Summary for IPSIS'!$AS$208</f>
        <v>0</v>
      </c>
      <c r="T279" s="82">
        <f>'[1]Summary for IPSIS'!$AT$213</f>
        <v>0</v>
      </c>
      <c r="U279" s="82">
        <f t="shared" si="282"/>
        <v>0</v>
      </c>
      <c r="V279" s="234">
        <f>'[1]Summary for IPSIS'!$BD$213+'[1]Summary for IPSIS'!$BE$213</f>
        <v>0</v>
      </c>
      <c r="W279" s="82">
        <f>'[1]Summary for IPSIS'!$BF$213</f>
        <v>0</v>
      </c>
      <c r="X279" s="82">
        <f t="shared" si="283"/>
        <v>0</v>
      </c>
      <c r="Y279" s="82">
        <f t="shared" si="284"/>
        <v>180880</v>
      </c>
      <c r="Z279" s="82">
        <f t="shared" si="285"/>
        <v>0</v>
      </c>
      <c r="AA279" s="82">
        <f t="shared" si="286"/>
        <v>180880</v>
      </c>
      <c r="AB279" s="234">
        <f>90440+90440+0</f>
        <v>180880</v>
      </c>
      <c r="AC279" s="82">
        <f>0</f>
        <v>0</v>
      </c>
      <c r="AD279" s="82">
        <f t="shared" si="287"/>
        <v>180880</v>
      </c>
      <c r="AE279" s="234">
        <f>0</f>
        <v>0</v>
      </c>
      <c r="AF279" s="82">
        <f>0</f>
        <v>0</v>
      </c>
      <c r="AG279" s="82"/>
      <c r="AH279" s="82">
        <f t="shared" si="288"/>
        <v>0</v>
      </c>
      <c r="AI279" s="234">
        <f>0</f>
        <v>0</v>
      </c>
      <c r="AJ279" s="82">
        <f>0</f>
        <v>0</v>
      </c>
      <c r="AK279" s="82">
        <f t="shared" si="289"/>
        <v>0</v>
      </c>
      <c r="AL279" s="217">
        <f t="shared" si="278"/>
        <v>0</v>
      </c>
    </row>
    <row r="280" spans="2:46" s="6" customFormat="1" ht="27.6" customHeight="1" thickBot="1">
      <c r="B280" s="58"/>
      <c r="C280" s="65" t="s">
        <v>85</v>
      </c>
      <c r="D280" s="66"/>
      <c r="E280" s="66"/>
      <c r="F280" s="56"/>
      <c r="G280" s="56"/>
      <c r="H280" s="56"/>
      <c r="I280" s="56"/>
      <c r="J280" s="57">
        <f>SUM(J274:J279)</f>
        <v>2505048</v>
      </c>
      <c r="K280" s="57">
        <f t="shared" ref="K280:AL280" si="290">SUM(K274:K279)</f>
        <v>0</v>
      </c>
      <c r="L280" s="57">
        <f t="shared" si="290"/>
        <v>2505048</v>
      </c>
      <c r="M280" s="57">
        <f t="shared" si="290"/>
        <v>2267496</v>
      </c>
      <c r="N280" s="57">
        <f t="shared" si="290"/>
        <v>0</v>
      </c>
      <c r="O280" s="57">
        <f t="shared" si="290"/>
        <v>2267496</v>
      </c>
      <c r="P280" s="57">
        <f t="shared" si="290"/>
        <v>1838368</v>
      </c>
      <c r="Q280" s="57">
        <f t="shared" si="290"/>
        <v>0</v>
      </c>
      <c r="R280" s="57">
        <f t="shared" si="290"/>
        <v>1838368</v>
      </c>
      <c r="S280" s="57">
        <f t="shared" si="290"/>
        <v>1838368</v>
      </c>
      <c r="T280" s="57">
        <f t="shared" si="290"/>
        <v>0</v>
      </c>
      <c r="U280" s="57">
        <f t="shared" si="290"/>
        <v>1838368</v>
      </c>
      <c r="V280" s="57">
        <f t="shared" si="290"/>
        <v>1838368</v>
      </c>
      <c r="W280" s="57">
        <f t="shared" si="290"/>
        <v>0</v>
      </c>
      <c r="X280" s="57">
        <f t="shared" si="290"/>
        <v>1838368</v>
      </c>
      <c r="Y280" s="57">
        <f t="shared" si="290"/>
        <v>10287648</v>
      </c>
      <c r="Z280" s="57">
        <f t="shared" si="290"/>
        <v>0</v>
      </c>
      <c r="AA280" s="57">
        <f t="shared" si="290"/>
        <v>10287648</v>
      </c>
      <c r="AB280" s="57">
        <f t="shared" si="290"/>
        <v>6610912</v>
      </c>
      <c r="AC280" s="57">
        <f t="shared" si="290"/>
        <v>0</v>
      </c>
      <c r="AD280" s="57">
        <f t="shared" si="290"/>
        <v>6610912</v>
      </c>
      <c r="AE280" s="57">
        <f t="shared" si="290"/>
        <v>0</v>
      </c>
      <c r="AF280" s="57">
        <f t="shared" si="290"/>
        <v>0</v>
      </c>
      <c r="AG280" s="57"/>
      <c r="AH280" s="57">
        <f t="shared" si="290"/>
        <v>0</v>
      </c>
      <c r="AI280" s="57">
        <f t="shared" si="290"/>
        <v>3676736</v>
      </c>
      <c r="AJ280" s="57">
        <f t="shared" si="290"/>
        <v>0</v>
      </c>
      <c r="AK280" s="57">
        <f t="shared" si="290"/>
        <v>3676736</v>
      </c>
      <c r="AL280" s="218">
        <f t="shared" si="290"/>
        <v>0</v>
      </c>
      <c r="AM280" s="36"/>
      <c r="AN280" s="36"/>
      <c r="AO280" s="36"/>
      <c r="AP280" s="36"/>
      <c r="AQ280" s="36"/>
      <c r="AR280" s="36"/>
      <c r="AS280" s="36"/>
      <c r="AT280" s="36"/>
    </row>
    <row r="281" spans="2:46" ht="45" customHeight="1">
      <c r="B281" s="161">
        <v>7.3</v>
      </c>
      <c r="C281" s="283" t="s">
        <v>190</v>
      </c>
      <c r="D281" s="284"/>
      <c r="E281" s="208"/>
      <c r="F281" s="75"/>
      <c r="G281" s="75"/>
      <c r="H281" s="81"/>
      <c r="I281" s="81"/>
      <c r="J281" s="80"/>
      <c r="K281" s="80"/>
      <c r="L281" s="78"/>
      <c r="M281" s="80"/>
      <c r="N281" s="80"/>
      <c r="O281" s="78"/>
      <c r="P281" s="80"/>
      <c r="Q281" s="78"/>
      <c r="R281" s="78"/>
      <c r="S281" s="80"/>
      <c r="T281" s="78"/>
      <c r="U281" s="78"/>
      <c r="V281" s="80"/>
      <c r="W281" s="78"/>
      <c r="X281" s="78"/>
      <c r="Y281" s="78"/>
      <c r="Z281" s="78"/>
      <c r="AA281" s="78"/>
      <c r="AB281" s="80"/>
      <c r="AC281" s="78"/>
      <c r="AD281" s="78"/>
      <c r="AE281" s="80"/>
      <c r="AF281" s="78"/>
      <c r="AG281" s="78"/>
      <c r="AH281" s="78"/>
      <c r="AI281" s="80"/>
      <c r="AJ281" s="78"/>
      <c r="AK281" s="78"/>
      <c r="AL281" s="79"/>
    </row>
    <row r="282" spans="2:46" ht="21" customHeight="1">
      <c r="B282" s="162"/>
      <c r="C282" s="113" t="s">
        <v>191</v>
      </c>
      <c r="D282" s="60"/>
      <c r="E282" s="60"/>
      <c r="F282" s="18"/>
      <c r="G282" s="18"/>
      <c r="H282" s="15"/>
      <c r="I282" s="15"/>
      <c r="J282" s="34"/>
      <c r="K282" s="34"/>
      <c r="L282" s="39"/>
      <c r="M282" s="34"/>
      <c r="N282" s="34"/>
      <c r="O282" s="39"/>
      <c r="P282" s="34"/>
      <c r="Q282" s="39"/>
      <c r="R282" s="39"/>
      <c r="S282" s="34"/>
      <c r="T282" s="39"/>
      <c r="U282" s="39"/>
      <c r="V282" s="34"/>
      <c r="W282" s="39"/>
      <c r="X282" s="39"/>
      <c r="Y282" s="39"/>
      <c r="Z282" s="39"/>
      <c r="AA282" s="39"/>
      <c r="AB282" s="34"/>
      <c r="AC282" s="39"/>
      <c r="AD282" s="39"/>
      <c r="AE282" s="34"/>
      <c r="AF282" s="39"/>
      <c r="AG282" s="39"/>
      <c r="AH282" s="39"/>
      <c r="AI282" s="34"/>
      <c r="AJ282" s="39"/>
      <c r="AK282" s="39"/>
      <c r="AL282" s="40"/>
    </row>
    <row r="283" spans="2:46" ht="32.4" customHeight="1">
      <c r="B283" s="48" t="s">
        <v>62</v>
      </c>
      <c r="C283" s="13" t="s">
        <v>192</v>
      </c>
      <c r="D283" s="14"/>
      <c r="E283" s="187" t="s">
        <v>721</v>
      </c>
      <c r="F283" s="17" t="s">
        <v>195</v>
      </c>
      <c r="G283" s="17" t="s">
        <v>193</v>
      </c>
      <c r="H283" s="200">
        <v>2023</v>
      </c>
      <c r="I283" s="200">
        <v>2025</v>
      </c>
      <c r="J283" s="31">
        <f>'[1]Summary for IPSIS'!$H$215+'[1]Summary for IPSIS'!$I$215</f>
        <v>0</v>
      </c>
      <c r="K283" s="31">
        <f>'[1]Summary for IPSIS'!$J$215</f>
        <v>0</v>
      </c>
      <c r="L283" s="39">
        <f>SUM(J283:K283)</f>
        <v>0</v>
      </c>
      <c r="M283" s="31">
        <f>'[1]Summary for IPSIS'!$T$215+'[1]Summary for IPSIS'!$U$215</f>
        <v>0</v>
      </c>
      <c r="N283" s="31">
        <f>'[1]Summary for IPSIS'!$V$215</f>
        <v>0</v>
      </c>
      <c r="O283" s="39">
        <f>SUM(M283:N283)</f>
        <v>0</v>
      </c>
      <c r="P283" s="34">
        <f>'[1]Summary for IPSIS'!$AF$215+'[1]Summary for IPSIS'!$AG$215</f>
        <v>1872000</v>
      </c>
      <c r="Q283" s="39">
        <f>'[1]Summary for IPSIS'!$AH$215</f>
        <v>0</v>
      </c>
      <c r="R283" s="39">
        <f>SUM(P283:Q283)</f>
        <v>1872000</v>
      </c>
      <c r="S283" s="34">
        <f>'[1]Summary for IPSIS'!$AR$215+'[1]Summary for IPSIS'!$AS$215</f>
        <v>0</v>
      </c>
      <c r="T283" s="39">
        <f>'[1]Summary for IPSIS'!$AT$215</f>
        <v>0</v>
      </c>
      <c r="U283" s="39">
        <f>SUM(S283:T283)</f>
        <v>0</v>
      </c>
      <c r="V283" s="34">
        <f>'[1]Summary for IPSIS'!$BD$215+'[1]Summary for IPSIS'!$BE$215</f>
        <v>1872000</v>
      </c>
      <c r="W283" s="39">
        <f>'[1]Summary for IPSIS'!$BF$215</f>
        <v>0</v>
      </c>
      <c r="X283" s="39">
        <f>SUM(V283:W283)</f>
        <v>1872000</v>
      </c>
      <c r="Y283" s="39">
        <f>J283+M283+P283+S283+V283</f>
        <v>3744000</v>
      </c>
      <c r="Z283" s="39">
        <f>K283+N283+Q283+T283+W283</f>
        <v>0</v>
      </c>
      <c r="AA283" s="39">
        <f>SUM(Y283:Z283)</f>
        <v>3744000</v>
      </c>
      <c r="AB283" s="34">
        <f>936000</f>
        <v>936000</v>
      </c>
      <c r="AC283" s="39">
        <f>0</f>
        <v>0</v>
      </c>
      <c r="AD283" s="39">
        <f>SUM(AB283:AC283)</f>
        <v>936000</v>
      </c>
      <c r="AE283" s="34">
        <f>1872000</f>
        <v>1872000</v>
      </c>
      <c r="AF283" s="39">
        <f>0</f>
        <v>0</v>
      </c>
      <c r="AG283" s="39"/>
      <c r="AH283" s="39">
        <f>SUM(AE283:AF283)</f>
        <v>1872000</v>
      </c>
      <c r="AI283" s="34">
        <f>936000</f>
        <v>936000</v>
      </c>
      <c r="AJ283" s="39">
        <f>0</f>
        <v>0</v>
      </c>
      <c r="AK283" s="39">
        <f>SUM(AI283:AJ283)</f>
        <v>936000</v>
      </c>
      <c r="AL283" s="210">
        <f t="shared" ref="AL283:AL290" si="291">SUM(AK283+AH283+AD283)-AA283</f>
        <v>0</v>
      </c>
    </row>
    <row r="284" spans="2:46" ht="34.799999999999997" customHeight="1">
      <c r="B284" s="48" t="s">
        <v>63</v>
      </c>
      <c r="C284" s="13" t="s">
        <v>194</v>
      </c>
      <c r="D284" s="14"/>
      <c r="E284" s="187" t="s">
        <v>721</v>
      </c>
      <c r="F284" s="17" t="s">
        <v>195</v>
      </c>
      <c r="G284" s="17" t="s">
        <v>193</v>
      </c>
      <c r="H284" s="200">
        <v>2023</v>
      </c>
      <c r="I284" s="200">
        <v>2023</v>
      </c>
      <c r="J284" s="31">
        <f>'[1]Summary for IPSIS'!$H$216+'[1]Summary for IPSIS'!$I$216</f>
        <v>0</v>
      </c>
      <c r="K284" s="31">
        <f>'[1]Summary for IPSIS'!$J$216</f>
        <v>0</v>
      </c>
      <c r="L284" s="39">
        <f t="shared" ref="L284:L290" si="292">SUM(J284:K284)</f>
        <v>0</v>
      </c>
      <c r="M284" s="31">
        <f>'[1]Summary for IPSIS'!$T$216+'[1]Summary for IPSIS'!$U$216</f>
        <v>0</v>
      </c>
      <c r="N284" s="31">
        <f>'[1]Summary for IPSIS'!$V$216</f>
        <v>0</v>
      </c>
      <c r="O284" s="39">
        <f t="shared" ref="O284:O290" si="293">SUM(M284:N284)</f>
        <v>0</v>
      </c>
      <c r="P284" s="34">
        <f>'[1]Summary for IPSIS'!$AF$216+'[1]Summary for IPSIS'!$AG$216</f>
        <v>0</v>
      </c>
      <c r="Q284" s="39">
        <f>'[1]Summary for IPSIS'!$AH$216</f>
        <v>0</v>
      </c>
      <c r="R284" s="39">
        <f t="shared" ref="R284:R290" si="294">SUM(P284:Q284)</f>
        <v>0</v>
      </c>
      <c r="S284" s="34">
        <f>'[1]Summary for IPSIS'!$AR$216+'[1]Summary for IPSIS'!$AS$216</f>
        <v>0</v>
      </c>
      <c r="T284" s="39">
        <f>'[1]Summary for IPSIS'!$AT$216</f>
        <v>0</v>
      </c>
      <c r="U284" s="39">
        <f t="shared" ref="U284:U290" si="295">SUM(S284:T284)</f>
        <v>0</v>
      </c>
      <c r="V284" s="34">
        <f>'[1]Summary for IPSIS'!$BD$216+'[1]Summary for IPSIS'!$BE$216</f>
        <v>0</v>
      </c>
      <c r="W284" s="39">
        <f>'[1]Summary for IPSIS'!$BF$216</f>
        <v>0</v>
      </c>
      <c r="X284" s="39">
        <f t="shared" ref="X284:X290" si="296">SUM(V284:W284)</f>
        <v>0</v>
      </c>
      <c r="Y284" s="39">
        <f t="shared" ref="Y284:Y290" si="297">J284+M284+P284+S284+V284</f>
        <v>0</v>
      </c>
      <c r="Z284" s="39">
        <f t="shared" ref="Z284:Z290" si="298">K284+N284+Q284+T284+W284</f>
        <v>0</v>
      </c>
      <c r="AA284" s="39">
        <f t="shared" ref="AA284:AA290" si="299">SUM(Y284:Z284)</f>
        <v>0</v>
      </c>
      <c r="AB284" s="34">
        <f>0</f>
        <v>0</v>
      </c>
      <c r="AC284" s="39">
        <f>0</f>
        <v>0</v>
      </c>
      <c r="AD284" s="39">
        <f t="shared" ref="AD284:AD290" si="300">SUM(AB284:AC284)</f>
        <v>0</v>
      </c>
      <c r="AE284" s="34">
        <f>0</f>
        <v>0</v>
      </c>
      <c r="AF284" s="39">
        <f>0</f>
        <v>0</v>
      </c>
      <c r="AG284" s="39"/>
      <c r="AH284" s="39">
        <f t="shared" ref="AH284:AH290" si="301">SUM(AE284:AF284)</f>
        <v>0</v>
      </c>
      <c r="AI284" s="34">
        <f>0</f>
        <v>0</v>
      </c>
      <c r="AJ284" s="39">
        <f>0</f>
        <v>0</v>
      </c>
      <c r="AK284" s="39">
        <f t="shared" ref="AK284:AK290" si="302">SUM(AI284:AJ284)</f>
        <v>0</v>
      </c>
      <c r="AL284" s="210">
        <f t="shared" si="291"/>
        <v>0</v>
      </c>
    </row>
    <row r="285" spans="2:46" ht="40.799999999999997" customHeight="1">
      <c r="B285" s="48" t="s">
        <v>64</v>
      </c>
      <c r="C285" s="13" t="s">
        <v>196</v>
      </c>
      <c r="D285" s="14"/>
      <c r="E285" s="187" t="s">
        <v>721</v>
      </c>
      <c r="F285" s="17" t="s">
        <v>195</v>
      </c>
      <c r="G285" s="17" t="s">
        <v>193</v>
      </c>
      <c r="H285" s="200">
        <v>2022</v>
      </c>
      <c r="I285" s="200">
        <v>2022</v>
      </c>
      <c r="J285" s="31">
        <f>'[1]Summary for IPSIS'!$H$217+'[1]Summary for IPSIS'!$I$217</f>
        <v>0</v>
      </c>
      <c r="K285" s="31">
        <f>'[1]Summary for IPSIS'!$J$217</f>
        <v>0</v>
      </c>
      <c r="L285" s="39">
        <f t="shared" si="292"/>
        <v>0</v>
      </c>
      <c r="M285" s="31">
        <f>'[1]Summary for IPSIS'!$T$217+'[1]Summary for IPSIS'!$U$217</f>
        <v>1872000</v>
      </c>
      <c r="N285" s="31">
        <f>'[1]Summary for IPSIS'!$V$217</f>
        <v>0</v>
      </c>
      <c r="O285" s="39">
        <f t="shared" si="293"/>
        <v>1872000</v>
      </c>
      <c r="P285" s="34">
        <f>'[1]Summary for IPSIS'!$AF$217+'[1]Summary for IPSIS'!$AG$217</f>
        <v>0</v>
      </c>
      <c r="Q285" s="39">
        <f>'[1]Summary for IPSIS'!$AH$217</f>
        <v>0</v>
      </c>
      <c r="R285" s="39">
        <f t="shared" si="294"/>
        <v>0</v>
      </c>
      <c r="S285" s="34">
        <f>'[1]Summary for IPSIS'!$AR$217+'[1]Summary for IPSIS'!$AS$217</f>
        <v>0</v>
      </c>
      <c r="T285" s="39">
        <f>'[1]Summary for IPSIS'!$AT$217</f>
        <v>0</v>
      </c>
      <c r="U285" s="39">
        <f t="shared" si="295"/>
        <v>0</v>
      </c>
      <c r="V285" s="34">
        <f>'[1]Summary for IPSIS'!$BD$217+'[1]Summary for IPSIS'!$BE$217</f>
        <v>0</v>
      </c>
      <c r="W285" s="39">
        <f>'[1]Summary for IPSIS'!$BF$217</f>
        <v>0</v>
      </c>
      <c r="X285" s="39">
        <f t="shared" si="296"/>
        <v>0</v>
      </c>
      <c r="Y285" s="39">
        <f t="shared" si="297"/>
        <v>1872000</v>
      </c>
      <c r="Z285" s="39">
        <f t="shared" si="298"/>
        <v>0</v>
      </c>
      <c r="AA285" s="39">
        <f t="shared" si="299"/>
        <v>1872000</v>
      </c>
      <c r="AB285" s="34">
        <f>1248000</f>
        <v>1248000</v>
      </c>
      <c r="AC285" s="39">
        <f>0</f>
        <v>0</v>
      </c>
      <c r="AD285" s="39">
        <f t="shared" si="300"/>
        <v>1248000</v>
      </c>
      <c r="AE285" s="34">
        <f>0</f>
        <v>0</v>
      </c>
      <c r="AF285" s="39">
        <f>0</f>
        <v>0</v>
      </c>
      <c r="AG285" s="39"/>
      <c r="AH285" s="39">
        <f t="shared" si="301"/>
        <v>0</v>
      </c>
      <c r="AI285" s="34">
        <f>0</f>
        <v>0</v>
      </c>
      <c r="AJ285" s="39">
        <f>0</f>
        <v>0</v>
      </c>
      <c r="AK285" s="39">
        <f t="shared" si="302"/>
        <v>0</v>
      </c>
      <c r="AL285" s="210">
        <f t="shared" si="291"/>
        <v>-624000</v>
      </c>
    </row>
    <row r="286" spans="2:46" ht="48">
      <c r="B286" s="48" t="s">
        <v>65</v>
      </c>
      <c r="C286" s="13" t="s">
        <v>197</v>
      </c>
      <c r="D286" s="14"/>
      <c r="E286" s="187" t="s">
        <v>721</v>
      </c>
      <c r="F286" s="17" t="s">
        <v>195</v>
      </c>
      <c r="G286" s="17" t="s">
        <v>193</v>
      </c>
      <c r="H286" s="200">
        <v>2025</v>
      </c>
      <c r="I286" s="200">
        <v>2025</v>
      </c>
      <c r="J286" s="31">
        <f>'[1]Summary for IPSIS'!$H$218+'[1]Summary for IPSIS'!$I$218</f>
        <v>0</v>
      </c>
      <c r="K286" s="31">
        <f>'[1]Summary for IPSIS'!$J$218</f>
        <v>0</v>
      </c>
      <c r="L286" s="39">
        <f t="shared" si="292"/>
        <v>0</v>
      </c>
      <c r="M286" s="31">
        <f>'[1]Summary for IPSIS'!$T$218+'[1]Summary for IPSIS'!$U$218</f>
        <v>0</v>
      </c>
      <c r="N286" s="31">
        <f>'[1]Summary for IPSIS'!$V$218</f>
        <v>0</v>
      </c>
      <c r="O286" s="39">
        <f t="shared" si="293"/>
        <v>0</v>
      </c>
      <c r="P286" s="34">
        <f>'[1]Summary for IPSIS'!$AF$218+'[1]Summary for IPSIS'!$AG$218</f>
        <v>0</v>
      </c>
      <c r="Q286" s="39">
        <f>'[1]Summary for IPSIS'!$AH$218</f>
        <v>0</v>
      </c>
      <c r="R286" s="39">
        <f t="shared" si="294"/>
        <v>0</v>
      </c>
      <c r="S286" s="34">
        <f>'[1]Summary for IPSIS'!$AR$218+'[1]Summary for IPSIS'!$AS$218</f>
        <v>0</v>
      </c>
      <c r="T286" s="39">
        <f>'[1]Summary for IPSIS'!$AT$218</f>
        <v>0</v>
      </c>
      <c r="U286" s="39">
        <f t="shared" si="295"/>
        <v>0</v>
      </c>
      <c r="V286" s="34">
        <f>'[1]Summary for IPSIS'!$BD$218+'[1]Summary for IPSIS'!$BE$218</f>
        <v>5990400</v>
      </c>
      <c r="W286" s="39">
        <f>'[1]Summary for IPSIS'!$BF$218</f>
        <v>0</v>
      </c>
      <c r="X286" s="39">
        <f t="shared" si="296"/>
        <v>5990400</v>
      </c>
      <c r="Y286" s="39">
        <f t="shared" si="297"/>
        <v>5990400</v>
      </c>
      <c r="Z286" s="39">
        <f t="shared" si="298"/>
        <v>0</v>
      </c>
      <c r="AA286" s="39">
        <f t="shared" si="299"/>
        <v>5990400</v>
      </c>
      <c r="AB286" s="34">
        <f>0</f>
        <v>0</v>
      </c>
      <c r="AC286" s="39">
        <f>0</f>
        <v>0</v>
      </c>
      <c r="AD286" s="39">
        <f t="shared" si="300"/>
        <v>0</v>
      </c>
      <c r="AE286" s="34">
        <f>0</f>
        <v>0</v>
      </c>
      <c r="AF286" s="39">
        <f>0</f>
        <v>0</v>
      </c>
      <c r="AG286" s="39"/>
      <c r="AH286" s="39">
        <f t="shared" si="301"/>
        <v>0</v>
      </c>
      <c r="AI286" s="34">
        <f>5990400</f>
        <v>5990400</v>
      </c>
      <c r="AJ286" s="39">
        <f>0</f>
        <v>0</v>
      </c>
      <c r="AK286" s="39">
        <f t="shared" si="302"/>
        <v>5990400</v>
      </c>
      <c r="AL286" s="210">
        <f t="shared" si="291"/>
        <v>0</v>
      </c>
    </row>
    <row r="287" spans="2:46" ht="30" customHeight="1">
      <c r="B287" s="48" t="s">
        <v>199</v>
      </c>
      <c r="C287" s="13" t="s">
        <v>198</v>
      </c>
      <c r="D287" s="14"/>
      <c r="E287" s="187" t="s">
        <v>721</v>
      </c>
      <c r="F287" s="17" t="s">
        <v>195</v>
      </c>
      <c r="G287" s="17" t="s">
        <v>193</v>
      </c>
      <c r="H287" s="200">
        <v>2022</v>
      </c>
      <c r="I287" s="200">
        <v>2025</v>
      </c>
      <c r="J287" s="31">
        <f>'[1]Summary for IPSIS'!$H$219+'[1]Summary for IPSIS'!$I$219</f>
        <v>0</v>
      </c>
      <c r="K287" s="31">
        <f>'[1]Summary for IPSIS'!$J$219</f>
        <v>0</v>
      </c>
      <c r="L287" s="39">
        <f t="shared" si="292"/>
        <v>0</v>
      </c>
      <c r="M287" s="31">
        <f>'[1]Summary for IPSIS'!$T$219+'[1]Summary for IPSIS'!$U$219</f>
        <v>3120000</v>
      </c>
      <c r="N287" s="31">
        <f>'[1]Summary for IPSIS'!$V$219</f>
        <v>0</v>
      </c>
      <c r="O287" s="39">
        <f t="shared" si="293"/>
        <v>3120000</v>
      </c>
      <c r="P287" s="34">
        <f>'[1]Summary for IPSIS'!$AF$219+'[1]Summary for IPSIS'!$AG$219</f>
        <v>0</v>
      </c>
      <c r="Q287" s="39">
        <f>'[1]Summary for IPSIS'!$AH$219</f>
        <v>0</v>
      </c>
      <c r="R287" s="39">
        <f t="shared" si="294"/>
        <v>0</v>
      </c>
      <c r="S287" s="34">
        <f>'[1]Summary for IPSIS'!$AR$219+'[1]Summary for IPSIS'!$AS$219</f>
        <v>3120000</v>
      </c>
      <c r="T287" s="39">
        <f>'[1]Summary for IPSIS'!$AT$219</f>
        <v>0</v>
      </c>
      <c r="U287" s="39">
        <f t="shared" si="295"/>
        <v>3120000</v>
      </c>
      <c r="V287" s="34">
        <f>'[1]Summary for IPSIS'!$BD$219+'[1]Summary for IPSIS'!$BE$219</f>
        <v>0</v>
      </c>
      <c r="W287" s="39">
        <f>'[1]Summary for IPSIS'!$BF$219</f>
        <v>0</v>
      </c>
      <c r="X287" s="39">
        <f t="shared" si="296"/>
        <v>0</v>
      </c>
      <c r="Y287" s="39">
        <f t="shared" si="297"/>
        <v>6240000</v>
      </c>
      <c r="Z287" s="39">
        <f t="shared" si="298"/>
        <v>0</v>
      </c>
      <c r="AA287" s="39">
        <f t="shared" si="299"/>
        <v>6240000</v>
      </c>
      <c r="AB287" s="34">
        <f>1560000</f>
        <v>1560000</v>
      </c>
      <c r="AC287" s="39">
        <f>0</f>
        <v>0</v>
      </c>
      <c r="AD287" s="39">
        <f t="shared" si="300"/>
        <v>1560000</v>
      </c>
      <c r="AE287" s="34">
        <f>0</f>
        <v>0</v>
      </c>
      <c r="AF287" s="39">
        <f>0</f>
        <v>0</v>
      </c>
      <c r="AG287" s="39"/>
      <c r="AH287" s="39">
        <f t="shared" si="301"/>
        <v>0</v>
      </c>
      <c r="AI287" s="34">
        <f>1560000</f>
        <v>1560000</v>
      </c>
      <c r="AJ287" s="39">
        <f>0</f>
        <v>0</v>
      </c>
      <c r="AK287" s="39">
        <f t="shared" si="302"/>
        <v>1560000</v>
      </c>
      <c r="AL287" s="210">
        <f t="shared" si="291"/>
        <v>-3120000</v>
      </c>
    </row>
    <row r="288" spans="2:46" ht="30" customHeight="1">
      <c r="B288" s="48" t="s">
        <v>200</v>
      </c>
      <c r="C288" s="13" t="s">
        <v>203</v>
      </c>
      <c r="D288" s="14"/>
      <c r="E288" s="187" t="s">
        <v>721</v>
      </c>
      <c r="F288" s="17" t="s">
        <v>195</v>
      </c>
      <c r="G288" s="17" t="s">
        <v>193</v>
      </c>
      <c r="H288" s="200">
        <v>2021</v>
      </c>
      <c r="I288" s="200">
        <v>2025</v>
      </c>
      <c r="J288" s="31">
        <f>'[1]Summary for IPSIS'!$H$220+'[1]Summary for IPSIS'!$I$220</f>
        <v>992400</v>
      </c>
      <c r="K288" s="31">
        <f>'[1]Summary for IPSIS'!$J$220</f>
        <v>0</v>
      </c>
      <c r="L288" s="39">
        <f t="shared" si="292"/>
        <v>992400</v>
      </c>
      <c r="M288" s="31">
        <f>'[1]Summary for IPSIS'!$T$220+'[1]Summary for IPSIS'!$U$220</f>
        <v>992400</v>
      </c>
      <c r="N288" s="31">
        <f>'[1]Summary for IPSIS'!$V$220</f>
        <v>0</v>
      </c>
      <c r="O288" s="39">
        <f t="shared" si="293"/>
        <v>992400</v>
      </c>
      <c r="P288" s="34">
        <f>'[1]Summary for IPSIS'!$AF$220+'[1]Summary for IPSIS'!$AG$220</f>
        <v>992400</v>
      </c>
      <c r="Q288" s="39">
        <f>'[1]Summary for IPSIS'!$AH$220</f>
        <v>0</v>
      </c>
      <c r="R288" s="39">
        <f t="shared" si="294"/>
        <v>992400</v>
      </c>
      <c r="S288" s="34">
        <f>'[1]Summary for IPSIS'!$AR$220+'[1]Summary for IPSIS'!$AS$220</f>
        <v>992400</v>
      </c>
      <c r="T288" s="39">
        <f>'[1]Summary for IPSIS'!$AT$220</f>
        <v>0</v>
      </c>
      <c r="U288" s="39">
        <f t="shared" si="295"/>
        <v>992400</v>
      </c>
      <c r="V288" s="34">
        <f>'[1]Summary for IPSIS'!$BD$220+'[1]Summary for IPSIS'!$BE$220</f>
        <v>992400</v>
      </c>
      <c r="W288" s="39">
        <f>'[1]Summary for IPSIS'!$BF$220</f>
        <v>0</v>
      </c>
      <c r="X288" s="39">
        <f t="shared" si="296"/>
        <v>992400</v>
      </c>
      <c r="Y288" s="39">
        <f t="shared" si="297"/>
        <v>4962000</v>
      </c>
      <c r="Z288" s="39">
        <f t="shared" si="298"/>
        <v>0</v>
      </c>
      <c r="AA288" s="39">
        <f t="shared" si="299"/>
        <v>4962000</v>
      </c>
      <c r="AB288" s="34">
        <f>496200+496200+496200</f>
        <v>1488600</v>
      </c>
      <c r="AC288" s="39">
        <f>0</f>
        <v>0</v>
      </c>
      <c r="AD288" s="39">
        <f t="shared" si="300"/>
        <v>1488600</v>
      </c>
      <c r="AE288" s="34">
        <f>2481000</f>
        <v>2481000</v>
      </c>
      <c r="AF288" s="39">
        <f>0</f>
        <v>0</v>
      </c>
      <c r="AG288" s="39"/>
      <c r="AH288" s="39">
        <f t="shared" si="301"/>
        <v>2481000</v>
      </c>
      <c r="AI288" s="34">
        <f>496200+496200</f>
        <v>992400</v>
      </c>
      <c r="AJ288" s="39">
        <v>0</v>
      </c>
      <c r="AK288" s="39">
        <f t="shared" si="302"/>
        <v>992400</v>
      </c>
      <c r="AL288" s="210">
        <f t="shared" si="291"/>
        <v>0</v>
      </c>
    </row>
    <row r="289" spans="2:46" ht="31.2" customHeight="1">
      <c r="B289" s="48" t="s">
        <v>201</v>
      </c>
      <c r="C289" s="13" t="s">
        <v>204</v>
      </c>
      <c r="D289" s="14"/>
      <c r="E289" s="187" t="s">
        <v>721</v>
      </c>
      <c r="F289" s="17" t="s">
        <v>195</v>
      </c>
      <c r="G289" s="17" t="s">
        <v>193</v>
      </c>
      <c r="H289" s="200">
        <v>2025</v>
      </c>
      <c r="I289" s="200">
        <v>2025</v>
      </c>
      <c r="J289" s="31">
        <f>'[1]Summary for IPSIS'!$H$221+'[1]Summary for IPSIS'!$I$221</f>
        <v>0</v>
      </c>
      <c r="K289" s="31">
        <f>'[1]Summary for IPSIS'!$J$221</f>
        <v>0</v>
      </c>
      <c r="L289" s="39">
        <f t="shared" si="292"/>
        <v>0</v>
      </c>
      <c r="M289" s="31">
        <f>'[1]Summary for IPSIS'!$T$221+'[1]Summary for IPSIS'!$U$221</f>
        <v>0</v>
      </c>
      <c r="N289" s="31">
        <f>'[1]Summary for IPSIS'!$V$221</f>
        <v>0</v>
      </c>
      <c r="O289" s="39">
        <f t="shared" si="293"/>
        <v>0</v>
      </c>
      <c r="P289" s="34">
        <f>'[1]Summary for IPSIS'!$AF$221+'[1]Summary for IPSIS'!$AG$221</f>
        <v>0</v>
      </c>
      <c r="Q289" s="39">
        <f>'[1]Summary for IPSIS'!$AH$221</f>
        <v>0</v>
      </c>
      <c r="R289" s="39">
        <f t="shared" si="294"/>
        <v>0</v>
      </c>
      <c r="S289" s="34">
        <f>'[1]Summary for IPSIS'!$AR$221+'[1]Summary for IPSIS'!$AS$221</f>
        <v>0</v>
      </c>
      <c r="T289" s="39">
        <f>'[1]Summary for IPSIS'!$AT$221</f>
        <v>0</v>
      </c>
      <c r="U289" s="39">
        <f t="shared" si="295"/>
        <v>0</v>
      </c>
      <c r="V289" s="34">
        <f>'[1]Summary for IPSIS'!$BD$221+'[1]Summary for IPSIS'!$BE$221</f>
        <v>2533200</v>
      </c>
      <c r="W289" s="39">
        <f>'[1]Summary for IPSIS'!$BF$221</f>
        <v>0</v>
      </c>
      <c r="X289" s="39">
        <f t="shared" si="296"/>
        <v>2533200</v>
      </c>
      <c r="Y289" s="39">
        <f t="shared" si="297"/>
        <v>2533200</v>
      </c>
      <c r="Z289" s="39">
        <f t="shared" si="298"/>
        <v>0</v>
      </c>
      <c r="AA289" s="39">
        <f t="shared" si="299"/>
        <v>2533200</v>
      </c>
      <c r="AB289" s="34">
        <f>0</f>
        <v>0</v>
      </c>
      <c r="AC289" s="39">
        <f>0</f>
        <v>0</v>
      </c>
      <c r="AD289" s="39">
        <f t="shared" si="300"/>
        <v>0</v>
      </c>
      <c r="AE289" s="34">
        <f>844400</f>
        <v>844400</v>
      </c>
      <c r="AF289" s="39">
        <f>0</f>
        <v>0</v>
      </c>
      <c r="AG289" s="39"/>
      <c r="AH289" s="39">
        <f t="shared" si="301"/>
        <v>844400</v>
      </c>
      <c r="AI289" s="34">
        <f>1688800</f>
        <v>1688800</v>
      </c>
      <c r="AJ289" s="39">
        <f>0</f>
        <v>0</v>
      </c>
      <c r="AK289" s="39">
        <f t="shared" si="302"/>
        <v>1688800</v>
      </c>
      <c r="AL289" s="210">
        <f t="shared" si="291"/>
        <v>0</v>
      </c>
    </row>
    <row r="290" spans="2:46" ht="31.8" customHeight="1" thickBot="1">
      <c r="B290" s="233" t="s">
        <v>202</v>
      </c>
      <c r="C290" s="243" t="s">
        <v>205</v>
      </c>
      <c r="D290" s="20"/>
      <c r="E290" s="220" t="s">
        <v>721</v>
      </c>
      <c r="F290" s="22" t="s">
        <v>195</v>
      </c>
      <c r="G290" s="22" t="s">
        <v>193</v>
      </c>
      <c r="H290" s="235">
        <v>2025</v>
      </c>
      <c r="I290" s="235">
        <v>2025</v>
      </c>
      <c r="J290" s="215">
        <f>'[1]Summary for IPSIS'!$H$222+'[1]Summary for IPSIS'!$I$222</f>
        <v>0</v>
      </c>
      <c r="K290" s="215">
        <f>'[1]Summary for IPSIS'!$J$222</f>
        <v>0</v>
      </c>
      <c r="L290" s="82">
        <f t="shared" si="292"/>
        <v>0</v>
      </c>
      <c r="M290" s="215">
        <f>'[1]Summary for IPSIS'!$T$222+'[1]Summary for IPSIS'!$U$222</f>
        <v>0</v>
      </c>
      <c r="N290" s="215">
        <f>'[1]Summary for IPSIS'!$V$222</f>
        <v>0</v>
      </c>
      <c r="O290" s="82">
        <f t="shared" si="293"/>
        <v>0</v>
      </c>
      <c r="P290" s="234">
        <f>'[1]Summary for IPSIS'!$AF$222+'[1]Summary for IPSIS'!$AG$222</f>
        <v>0</v>
      </c>
      <c r="Q290" s="82">
        <f>'[1]Summary for IPSIS'!$AH$222</f>
        <v>0</v>
      </c>
      <c r="R290" s="82">
        <f t="shared" si="294"/>
        <v>0</v>
      </c>
      <c r="S290" s="234">
        <f>'[1]Summary for IPSIS'!$AR$222+'[1]Summary for IPSIS'!$AS$222</f>
        <v>0</v>
      </c>
      <c r="T290" s="82">
        <f>'[1]Summary for IPSIS'!$AT$222</f>
        <v>0</v>
      </c>
      <c r="U290" s="82">
        <f t="shared" si="295"/>
        <v>0</v>
      </c>
      <c r="V290" s="234">
        <f>'[1]Summary for IPSIS'!$BD$222+'[1]Summary for IPSIS'!$BE$222</f>
        <v>25200000</v>
      </c>
      <c r="W290" s="82">
        <f>'[1]Summary for IPSIS'!$BF$222</f>
        <v>0</v>
      </c>
      <c r="X290" s="82">
        <f t="shared" si="296"/>
        <v>25200000</v>
      </c>
      <c r="Y290" s="82">
        <f t="shared" si="297"/>
        <v>25200000</v>
      </c>
      <c r="Z290" s="82">
        <f t="shared" si="298"/>
        <v>0</v>
      </c>
      <c r="AA290" s="82">
        <f t="shared" si="299"/>
        <v>25200000</v>
      </c>
      <c r="AB290" s="234">
        <f>0</f>
        <v>0</v>
      </c>
      <c r="AC290" s="82">
        <f>0</f>
        <v>0</v>
      </c>
      <c r="AD290" s="82">
        <f t="shared" si="300"/>
        <v>0</v>
      </c>
      <c r="AE290" s="234">
        <f>0</f>
        <v>0</v>
      </c>
      <c r="AF290" s="82">
        <f>0</f>
        <v>0</v>
      </c>
      <c r="AG290" s="82"/>
      <c r="AH290" s="82">
        <f t="shared" si="301"/>
        <v>0</v>
      </c>
      <c r="AI290" s="234">
        <f>0</f>
        <v>0</v>
      </c>
      <c r="AJ290" s="82">
        <f>0</f>
        <v>0</v>
      </c>
      <c r="AK290" s="82">
        <f t="shared" si="302"/>
        <v>0</v>
      </c>
      <c r="AL290" s="217">
        <f t="shared" si="291"/>
        <v>-25200000</v>
      </c>
    </row>
    <row r="291" spans="2:46" s="6" customFormat="1" ht="27.6" customHeight="1" thickBot="1">
      <c r="B291" s="58"/>
      <c r="C291" s="65" t="s">
        <v>86</v>
      </c>
      <c r="D291" s="66"/>
      <c r="E291" s="66"/>
      <c r="F291" s="56"/>
      <c r="G291" s="56"/>
      <c r="H291" s="56"/>
      <c r="I291" s="56"/>
      <c r="J291" s="57">
        <f>SUM(J283:J290)</f>
        <v>992400</v>
      </c>
      <c r="K291" s="57">
        <f t="shared" ref="K291:AL291" si="303">SUM(K283:K290)</f>
        <v>0</v>
      </c>
      <c r="L291" s="57">
        <f t="shared" si="303"/>
        <v>992400</v>
      </c>
      <c r="M291" s="57">
        <f t="shared" si="303"/>
        <v>5984400</v>
      </c>
      <c r="N291" s="57">
        <f t="shared" si="303"/>
        <v>0</v>
      </c>
      <c r="O291" s="57">
        <f t="shared" si="303"/>
        <v>5984400</v>
      </c>
      <c r="P291" s="57">
        <f t="shared" si="303"/>
        <v>2864400</v>
      </c>
      <c r="Q291" s="57">
        <f t="shared" si="303"/>
        <v>0</v>
      </c>
      <c r="R291" s="57">
        <f t="shared" si="303"/>
        <v>2864400</v>
      </c>
      <c r="S291" s="57">
        <f t="shared" si="303"/>
        <v>4112400</v>
      </c>
      <c r="T291" s="57">
        <f t="shared" si="303"/>
        <v>0</v>
      </c>
      <c r="U291" s="57">
        <f t="shared" si="303"/>
        <v>4112400</v>
      </c>
      <c r="V291" s="57">
        <f t="shared" si="303"/>
        <v>36588000</v>
      </c>
      <c r="W291" s="57">
        <f t="shared" si="303"/>
        <v>0</v>
      </c>
      <c r="X291" s="57">
        <f t="shared" si="303"/>
        <v>36588000</v>
      </c>
      <c r="Y291" s="57">
        <f t="shared" si="303"/>
        <v>50541600</v>
      </c>
      <c r="Z291" s="57">
        <f t="shared" si="303"/>
        <v>0</v>
      </c>
      <c r="AA291" s="57">
        <f t="shared" si="303"/>
        <v>50541600</v>
      </c>
      <c r="AB291" s="57">
        <f t="shared" si="303"/>
        <v>5232600</v>
      </c>
      <c r="AC291" s="57">
        <f t="shared" si="303"/>
        <v>0</v>
      </c>
      <c r="AD291" s="57">
        <f t="shared" si="303"/>
        <v>5232600</v>
      </c>
      <c r="AE291" s="57">
        <f t="shared" si="303"/>
        <v>5197400</v>
      </c>
      <c r="AF291" s="57">
        <f t="shared" si="303"/>
        <v>0</v>
      </c>
      <c r="AG291" s="57">
        <f t="shared" si="303"/>
        <v>0</v>
      </c>
      <c r="AH291" s="57">
        <f t="shared" si="303"/>
        <v>5197400</v>
      </c>
      <c r="AI291" s="57">
        <f t="shared" si="303"/>
        <v>11167600</v>
      </c>
      <c r="AJ291" s="57">
        <f t="shared" si="303"/>
        <v>0</v>
      </c>
      <c r="AK291" s="57">
        <f t="shared" si="303"/>
        <v>11167600</v>
      </c>
      <c r="AL291" s="218">
        <f t="shared" si="303"/>
        <v>-28944000</v>
      </c>
      <c r="AM291" s="36"/>
      <c r="AN291" s="36"/>
      <c r="AO291" s="36"/>
      <c r="AP291" s="36"/>
      <c r="AQ291" s="36"/>
      <c r="AR291" s="36"/>
      <c r="AS291" s="36"/>
      <c r="AT291" s="36"/>
    </row>
    <row r="292" spans="2:46" ht="32.25" customHeight="1" thickBot="1">
      <c r="B292" s="58"/>
      <c r="C292" s="285" t="s">
        <v>755</v>
      </c>
      <c r="D292" s="286"/>
      <c r="E292" s="185"/>
      <c r="F292" s="56"/>
      <c r="G292" s="56"/>
      <c r="H292" s="56"/>
      <c r="I292" s="56"/>
      <c r="J292" s="57">
        <f>J271+J280+J291</f>
        <v>9994248</v>
      </c>
      <c r="K292" s="57">
        <f t="shared" ref="K292:AL292" si="304">K271+K280+K291</f>
        <v>0</v>
      </c>
      <c r="L292" s="57">
        <f t="shared" si="304"/>
        <v>9994248</v>
      </c>
      <c r="M292" s="57">
        <f t="shared" si="304"/>
        <v>8251896</v>
      </c>
      <c r="N292" s="57">
        <f t="shared" si="304"/>
        <v>0</v>
      </c>
      <c r="O292" s="57">
        <f t="shared" si="304"/>
        <v>8251896</v>
      </c>
      <c r="P292" s="57">
        <f t="shared" si="304"/>
        <v>13340158</v>
      </c>
      <c r="Q292" s="57">
        <f t="shared" si="304"/>
        <v>0</v>
      </c>
      <c r="R292" s="57">
        <f t="shared" si="304"/>
        <v>13340158</v>
      </c>
      <c r="S292" s="57">
        <f t="shared" si="304"/>
        <v>5950768</v>
      </c>
      <c r="T292" s="57">
        <f t="shared" si="304"/>
        <v>0</v>
      </c>
      <c r="U292" s="57">
        <f t="shared" si="304"/>
        <v>5950768</v>
      </c>
      <c r="V292" s="57">
        <f t="shared" si="304"/>
        <v>46329798</v>
      </c>
      <c r="W292" s="57">
        <f t="shared" si="304"/>
        <v>0</v>
      </c>
      <c r="X292" s="57">
        <f t="shared" si="304"/>
        <v>46329798</v>
      </c>
      <c r="Y292" s="57">
        <f t="shared" si="304"/>
        <v>83866868</v>
      </c>
      <c r="Z292" s="57">
        <f t="shared" si="304"/>
        <v>0</v>
      </c>
      <c r="AA292" s="57">
        <f t="shared" si="304"/>
        <v>83866868</v>
      </c>
      <c r="AB292" s="57">
        <f t="shared" si="304"/>
        <v>24904102</v>
      </c>
      <c r="AC292" s="57">
        <f t="shared" si="304"/>
        <v>0</v>
      </c>
      <c r="AD292" s="57">
        <f t="shared" si="304"/>
        <v>24904102</v>
      </c>
      <c r="AE292" s="57">
        <f t="shared" si="304"/>
        <v>5197400</v>
      </c>
      <c r="AF292" s="57">
        <f t="shared" si="304"/>
        <v>0</v>
      </c>
      <c r="AG292" s="57">
        <f t="shared" si="304"/>
        <v>0</v>
      </c>
      <c r="AH292" s="57">
        <f t="shared" si="304"/>
        <v>5197400</v>
      </c>
      <c r="AI292" s="57">
        <f t="shared" si="304"/>
        <v>22310966</v>
      </c>
      <c r="AJ292" s="57">
        <f t="shared" si="304"/>
        <v>0</v>
      </c>
      <c r="AK292" s="57">
        <f t="shared" si="304"/>
        <v>22310966</v>
      </c>
      <c r="AL292" s="218">
        <f t="shared" si="304"/>
        <v>-31454400</v>
      </c>
    </row>
    <row r="293" spans="2:46" ht="32.25" customHeight="1" thickBot="1">
      <c r="B293" s="290" t="s">
        <v>144</v>
      </c>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291"/>
      <c r="Z293" s="291"/>
      <c r="AA293" s="291"/>
      <c r="AB293" s="291"/>
      <c r="AC293" s="291"/>
      <c r="AD293" s="291"/>
      <c r="AE293" s="291"/>
      <c r="AF293" s="291"/>
      <c r="AG293" s="291"/>
      <c r="AH293" s="291"/>
      <c r="AI293" s="291"/>
      <c r="AJ293" s="291"/>
      <c r="AK293" s="291"/>
      <c r="AL293" s="292"/>
    </row>
    <row r="294" spans="2:46" ht="32.25" customHeight="1" thickBot="1">
      <c r="B294" s="293" t="s">
        <v>769</v>
      </c>
      <c r="C294" s="332"/>
      <c r="D294" s="332"/>
      <c r="E294" s="332"/>
      <c r="F294" s="332"/>
      <c r="G294" s="332"/>
      <c r="H294" s="332"/>
      <c r="I294" s="332"/>
      <c r="J294" s="332"/>
      <c r="K294" s="332"/>
      <c r="L294" s="332"/>
      <c r="M294" s="332"/>
      <c r="N294" s="332"/>
      <c r="O294" s="332"/>
      <c r="P294" s="332"/>
      <c r="Q294" s="332"/>
      <c r="R294" s="332"/>
      <c r="S294" s="332"/>
      <c r="T294" s="332"/>
      <c r="U294" s="332"/>
      <c r="V294" s="332"/>
      <c r="W294" s="332"/>
      <c r="X294" s="332"/>
      <c r="Y294" s="332"/>
      <c r="Z294" s="332"/>
      <c r="AA294" s="332"/>
      <c r="AB294" s="332"/>
      <c r="AC294" s="332"/>
      <c r="AD294" s="332"/>
      <c r="AE294" s="332"/>
      <c r="AF294" s="332"/>
      <c r="AG294" s="332"/>
      <c r="AH294" s="332"/>
      <c r="AI294" s="332"/>
      <c r="AJ294" s="332"/>
      <c r="AK294" s="332"/>
      <c r="AL294" s="333"/>
    </row>
    <row r="295" spans="2:46" ht="32.25" customHeight="1">
      <c r="B295" s="304" t="s">
        <v>0</v>
      </c>
      <c r="C295" s="310" t="s">
        <v>111</v>
      </c>
      <c r="D295" s="310" t="s">
        <v>1</v>
      </c>
      <c r="E295" s="164" t="s">
        <v>112</v>
      </c>
      <c r="F295" s="310" t="s">
        <v>747</v>
      </c>
      <c r="G295" s="310"/>
      <c r="H295" s="298" t="s">
        <v>116</v>
      </c>
      <c r="I295" s="298"/>
      <c r="J295" s="311" t="s">
        <v>119</v>
      </c>
      <c r="K295" s="311"/>
      <c r="L295" s="311"/>
      <c r="M295" s="311" t="s">
        <v>120</v>
      </c>
      <c r="N295" s="311"/>
      <c r="O295" s="311"/>
      <c r="P295" s="311" t="s">
        <v>121</v>
      </c>
      <c r="Q295" s="314"/>
      <c r="R295" s="314"/>
      <c r="S295" s="312" t="s">
        <v>122</v>
      </c>
      <c r="T295" s="312"/>
      <c r="U295" s="312"/>
      <c r="V295" s="312" t="s">
        <v>123</v>
      </c>
      <c r="W295" s="312"/>
      <c r="X295" s="312"/>
      <c r="Y295" s="312" t="s">
        <v>124</v>
      </c>
      <c r="Z295" s="314"/>
      <c r="AA295" s="314"/>
      <c r="AB295" s="311" t="s">
        <v>125</v>
      </c>
      <c r="AC295" s="311"/>
      <c r="AD295" s="311"/>
      <c r="AE295" s="311"/>
      <c r="AF295" s="311"/>
      <c r="AG295" s="311"/>
      <c r="AH295" s="311"/>
      <c r="AI295" s="311" t="s">
        <v>131</v>
      </c>
      <c r="AJ295" s="317"/>
      <c r="AK295" s="317"/>
      <c r="AL295" s="323" t="s">
        <v>132</v>
      </c>
    </row>
    <row r="296" spans="2:46" ht="32.25" customHeight="1">
      <c r="B296" s="305"/>
      <c r="C296" s="308"/>
      <c r="D296" s="308"/>
      <c r="E296" s="308" t="s">
        <v>113</v>
      </c>
      <c r="F296" s="318" t="s">
        <v>114</v>
      </c>
      <c r="G296" s="318" t="s">
        <v>115</v>
      </c>
      <c r="H296" s="320" t="s">
        <v>117</v>
      </c>
      <c r="I296" s="320" t="s">
        <v>117</v>
      </c>
      <c r="J296" s="299"/>
      <c r="K296" s="299"/>
      <c r="L296" s="299"/>
      <c r="M296" s="299"/>
      <c r="N296" s="299"/>
      <c r="O296" s="299"/>
      <c r="P296" s="315"/>
      <c r="Q296" s="315"/>
      <c r="R296" s="315"/>
      <c r="S296" s="313"/>
      <c r="T296" s="313"/>
      <c r="U296" s="313"/>
      <c r="V296" s="313"/>
      <c r="W296" s="313"/>
      <c r="X296" s="313"/>
      <c r="Y296" s="315"/>
      <c r="Z296" s="315"/>
      <c r="AA296" s="315"/>
      <c r="AB296" s="299" t="s">
        <v>127</v>
      </c>
      <c r="AC296" s="300"/>
      <c r="AD296" s="300"/>
      <c r="AE296" s="299" t="s">
        <v>128</v>
      </c>
      <c r="AF296" s="301"/>
      <c r="AG296" s="301"/>
      <c r="AH296" s="301"/>
      <c r="AI296" s="316" t="s">
        <v>134</v>
      </c>
      <c r="AJ296" s="316"/>
      <c r="AK296" s="316"/>
      <c r="AL296" s="324"/>
    </row>
    <row r="297" spans="2:46" ht="32.25" customHeight="1" thickBot="1">
      <c r="B297" s="306"/>
      <c r="C297" s="322"/>
      <c r="D297" s="322"/>
      <c r="E297" s="322"/>
      <c r="F297" s="319"/>
      <c r="G297" s="319"/>
      <c r="H297" s="321"/>
      <c r="I297" s="321"/>
      <c r="J297" s="205" t="s">
        <v>87</v>
      </c>
      <c r="K297" s="206" t="s">
        <v>88</v>
      </c>
      <c r="L297" s="206" t="s">
        <v>133</v>
      </c>
      <c r="M297" s="205" t="s">
        <v>87</v>
      </c>
      <c r="N297" s="206" t="s">
        <v>88</v>
      </c>
      <c r="O297" s="206" t="s">
        <v>133</v>
      </c>
      <c r="P297" s="205" t="s">
        <v>87</v>
      </c>
      <c r="Q297" s="206" t="s">
        <v>88</v>
      </c>
      <c r="R297" s="206" t="s">
        <v>133</v>
      </c>
      <c r="S297" s="205" t="s">
        <v>87</v>
      </c>
      <c r="T297" s="206" t="s">
        <v>88</v>
      </c>
      <c r="U297" s="206" t="s">
        <v>133</v>
      </c>
      <c r="V297" s="205" t="s">
        <v>87</v>
      </c>
      <c r="W297" s="206" t="s">
        <v>88</v>
      </c>
      <c r="X297" s="206" t="s">
        <v>133</v>
      </c>
      <c r="Y297" s="206" t="s">
        <v>87</v>
      </c>
      <c r="Z297" s="206" t="s">
        <v>88</v>
      </c>
      <c r="AA297" s="206" t="s">
        <v>133</v>
      </c>
      <c r="AB297" s="205" t="s">
        <v>87</v>
      </c>
      <c r="AC297" s="206" t="s">
        <v>88</v>
      </c>
      <c r="AD297" s="206" t="s">
        <v>126</v>
      </c>
      <c r="AE297" s="205" t="s">
        <v>87</v>
      </c>
      <c r="AF297" s="206" t="s">
        <v>88</v>
      </c>
      <c r="AG297" s="206" t="s">
        <v>129</v>
      </c>
      <c r="AH297" s="206" t="s">
        <v>130</v>
      </c>
      <c r="AI297" s="205" t="s">
        <v>87</v>
      </c>
      <c r="AJ297" s="206" t="s">
        <v>88</v>
      </c>
      <c r="AK297" s="206" t="s">
        <v>133</v>
      </c>
      <c r="AL297" s="207"/>
    </row>
    <row r="298" spans="2:46" ht="49.8" customHeight="1">
      <c r="B298" s="161">
        <v>8.1</v>
      </c>
      <c r="C298" s="283" t="s">
        <v>149</v>
      </c>
      <c r="D298" s="284"/>
      <c r="E298" s="208"/>
      <c r="F298" s="75"/>
      <c r="G298" s="88"/>
      <c r="H298" s="72"/>
      <c r="I298" s="72"/>
      <c r="J298" s="70"/>
      <c r="K298" s="70"/>
      <c r="L298" s="78"/>
      <c r="M298" s="70"/>
      <c r="N298" s="70"/>
      <c r="O298" s="78"/>
      <c r="P298" s="80"/>
      <c r="Q298" s="78"/>
      <c r="R298" s="78"/>
      <c r="S298" s="80"/>
      <c r="T298" s="78"/>
      <c r="U298" s="78"/>
      <c r="V298" s="80"/>
      <c r="W298" s="78"/>
      <c r="X298" s="78"/>
      <c r="Y298" s="78"/>
      <c r="Z298" s="78"/>
      <c r="AA298" s="78"/>
      <c r="AB298" s="80"/>
      <c r="AC298" s="78"/>
      <c r="AD298" s="78"/>
      <c r="AE298" s="80"/>
      <c r="AF298" s="78"/>
      <c r="AG298" s="78"/>
      <c r="AH298" s="78"/>
      <c r="AI298" s="80"/>
      <c r="AJ298" s="78"/>
      <c r="AK298" s="78"/>
      <c r="AL298" s="79"/>
    </row>
    <row r="299" spans="2:46" ht="32.25" customHeight="1">
      <c r="B299" s="162"/>
      <c r="C299" s="113" t="s">
        <v>141</v>
      </c>
      <c r="D299" s="60"/>
      <c r="E299" s="60"/>
      <c r="F299" s="18"/>
      <c r="G299" s="19"/>
      <c r="H299" s="11"/>
      <c r="I299" s="11"/>
      <c r="J299" s="31"/>
      <c r="K299" s="31"/>
      <c r="L299" s="39"/>
      <c r="M299" s="31"/>
      <c r="N299" s="31"/>
      <c r="O299" s="39"/>
      <c r="P299" s="34"/>
      <c r="Q299" s="39"/>
      <c r="R299" s="39"/>
      <c r="S299" s="34"/>
      <c r="T299" s="39"/>
      <c r="U299" s="39"/>
      <c r="V299" s="34"/>
      <c r="W299" s="39"/>
      <c r="X299" s="39"/>
      <c r="Y299" s="39"/>
      <c r="Z299" s="39"/>
      <c r="AA299" s="39"/>
      <c r="AB299" s="34"/>
      <c r="AC299" s="39"/>
      <c r="AD299" s="39"/>
      <c r="AE299" s="34"/>
      <c r="AF299" s="39"/>
      <c r="AG299" s="39"/>
      <c r="AH299" s="39"/>
      <c r="AI299" s="34"/>
      <c r="AJ299" s="39"/>
      <c r="AK299" s="39"/>
      <c r="AL299" s="40"/>
    </row>
    <row r="300" spans="2:46" ht="39" customHeight="1">
      <c r="B300" s="48" t="s">
        <v>146</v>
      </c>
      <c r="C300" s="188" t="s">
        <v>399</v>
      </c>
      <c r="D300" s="46"/>
      <c r="E300" s="197" t="s">
        <v>428</v>
      </c>
      <c r="F300" s="16" t="s">
        <v>168</v>
      </c>
      <c r="G300" s="16" t="s">
        <v>188</v>
      </c>
      <c r="H300" s="181">
        <v>2021</v>
      </c>
      <c r="I300" s="181">
        <v>2021</v>
      </c>
      <c r="J300" s="41">
        <f>'[1]Summary for IPSIS'!$H$225+'[1]Summary for IPSIS'!$I$225</f>
        <v>243792</v>
      </c>
      <c r="K300" s="31">
        <f>'[1]Summary for IPSIS'!$J$225</f>
        <v>0</v>
      </c>
      <c r="L300" s="39">
        <f>SUM(J300:K300)</f>
        <v>243792</v>
      </c>
      <c r="M300" s="41">
        <f>'[1]Summary for IPSIS'!$T$225+'[1]Summary for IPSIS'!$U$225</f>
        <v>0</v>
      </c>
      <c r="N300" s="31">
        <f>'[1]Summary for IPSIS'!$V$225</f>
        <v>0</v>
      </c>
      <c r="O300" s="39">
        <f>SUM(M300:N300)</f>
        <v>0</v>
      </c>
      <c r="P300" s="34">
        <f>'[1]Summary for IPSIS'!$AF$225+'[1]Summary for IPSIS'!$AG$225</f>
        <v>0</v>
      </c>
      <c r="Q300" s="39">
        <f>'[1]Summary for IPSIS'!$AH$225</f>
        <v>0</v>
      </c>
      <c r="R300" s="39">
        <f>SUM(P300:Q300)</f>
        <v>0</v>
      </c>
      <c r="S300" s="34">
        <f>'[1]Summary for IPSIS'!$AR$225+'[1]Summary for IPSIS'!$AS$225</f>
        <v>0</v>
      </c>
      <c r="T300" s="39">
        <f>'[1]Summary for IPSIS'!$AT$225</f>
        <v>0</v>
      </c>
      <c r="U300" s="39">
        <f>SUM(S300:T300)</f>
        <v>0</v>
      </c>
      <c r="V300" s="34">
        <f>'[1]Summary for IPSIS'!$BD$225+'[1]Summary for IPSIS'!$BE$225</f>
        <v>0</v>
      </c>
      <c r="W300" s="39">
        <f>'[1]Summary for IPSIS'!$BF$225</f>
        <v>0</v>
      </c>
      <c r="X300" s="39">
        <f>SUM(V300:W300)</f>
        <v>0</v>
      </c>
      <c r="Y300" s="39">
        <f>J300+M300+P300+S300+V300</f>
        <v>243792</v>
      </c>
      <c r="Z300" s="39">
        <f>K300+N300+Q300+T300+W300</f>
        <v>0</v>
      </c>
      <c r="AA300" s="39">
        <f>SUM(Y300:Z300)</f>
        <v>243792</v>
      </c>
      <c r="AB300" s="34">
        <f>243792</f>
        <v>243792</v>
      </c>
      <c r="AC300" s="39">
        <f>0</f>
        <v>0</v>
      </c>
      <c r="AD300" s="39">
        <f>SUM(AB300:AC300)</f>
        <v>243792</v>
      </c>
      <c r="AE300" s="34">
        <f>0</f>
        <v>0</v>
      </c>
      <c r="AF300" s="39">
        <f>0</f>
        <v>0</v>
      </c>
      <c r="AG300" s="39"/>
      <c r="AH300" s="39">
        <f>SUM(AE300:AF300)</f>
        <v>0</v>
      </c>
      <c r="AI300" s="34">
        <f>0</f>
        <v>0</v>
      </c>
      <c r="AJ300" s="39">
        <f>0</f>
        <v>0</v>
      </c>
      <c r="AK300" s="39">
        <f>SUM(AI300:AJ300)</f>
        <v>0</v>
      </c>
      <c r="AL300" s="210">
        <f>SUM(AK300+AH300+AD300)-AA300</f>
        <v>0</v>
      </c>
    </row>
    <row r="301" spans="2:46" ht="42.6" customHeight="1">
      <c r="B301" s="48" t="s">
        <v>147</v>
      </c>
      <c r="C301" s="186" t="s">
        <v>400</v>
      </c>
      <c r="D301" s="46"/>
      <c r="E301" s="181" t="s">
        <v>428</v>
      </c>
      <c r="F301" s="16" t="s">
        <v>168</v>
      </c>
      <c r="G301" s="16" t="s">
        <v>756</v>
      </c>
      <c r="H301" s="181">
        <v>2021</v>
      </c>
      <c r="I301" s="181">
        <v>2025</v>
      </c>
      <c r="J301" s="41">
        <f>'[1]Summary for IPSIS'!$H$226+'[1]Summary for IPSIS'!$I$226</f>
        <v>406560</v>
      </c>
      <c r="K301" s="31">
        <f>'[1]Summary for IPSIS'!$J$226</f>
        <v>0</v>
      </c>
      <c r="L301" s="39">
        <f t="shared" ref="L301:L304" si="305">SUM(J301:K301)</f>
        <v>406560</v>
      </c>
      <c r="M301" s="41">
        <f>'[1]Summary for IPSIS'!$T$226+'[1]Summary for IPSIS'!$U$226</f>
        <v>406560</v>
      </c>
      <c r="N301" s="31">
        <f>'[1]Summary for IPSIS'!$V$226</f>
        <v>0</v>
      </c>
      <c r="O301" s="39">
        <f t="shared" ref="O301:O304" si="306">SUM(M301:N301)</f>
        <v>406560</v>
      </c>
      <c r="P301" s="34">
        <f>'[1]Summary for IPSIS'!$AF$226+'[1]Summary for IPSIS'!$AG$226</f>
        <v>406560</v>
      </c>
      <c r="Q301" s="39">
        <f>'[1]Summary for IPSIS'!$AH$226</f>
        <v>0</v>
      </c>
      <c r="R301" s="39">
        <f t="shared" ref="R301:R304" si="307">SUM(P301:Q301)</f>
        <v>406560</v>
      </c>
      <c r="S301" s="34">
        <f>'[1]Summary for IPSIS'!$AR$226+'[1]Summary for IPSIS'!$AS$226</f>
        <v>406560</v>
      </c>
      <c r="T301" s="39">
        <f>'[1]Summary for IPSIS'!$AT$226</f>
        <v>0</v>
      </c>
      <c r="U301" s="39">
        <f t="shared" ref="U301:U304" si="308">SUM(S301:T301)</f>
        <v>406560</v>
      </c>
      <c r="V301" s="34">
        <f>'[1]Summary for IPSIS'!$BD$226+'[1]Summary for IPSIS'!$BE$226</f>
        <v>406560</v>
      </c>
      <c r="W301" s="39">
        <f>'[1]Summary for IPSIS'!$BF$226</f>
        <v>0</v>
      </c>
      <c r="X301" s="39">
        <f t="shared" ref="X301:X304" si="309">SUM(V301:W301)</f>
        <v>406560</v>
      </c>
      <c r="Y301" s="39">
        <f t="shared" ref="Y301:Y304" si="310">J301+M301+P301+S301+V301</f>
        <v>2032800</v>
      </c>
      <c r="Z301" s="39">
        <f t="shared" ref="Z301:Z304" si="311">K301+N301+Q301+T301+W301</f>
        <v>0</v>
      </c>
      <c r="AA301" s="39">
        <f t="shared" ref="AA301:AA304" si="312">SUM(Y301:Z301)</f>
        <v>2032800</v>
      </c>
      <c r="AB301" s="34">
        <f>406560+406560+406560</f>
        <v>1219680</v>
      </c>
      <c r="AC301" s="39">
        <f>0</f>
        <v>0</v>
      </c>
      <c r="AD301" s="39">
        <f t="shared" ref="AD301:AD304" si="313">SUM(AB301:AC301)</f>
        <v>1219680</v>
      </c>
      <c r="AE301" s="34">
        <f>0</f>
        <v>0</v>
      </c>
      <c r="AF301" s="39">
        <f>0</f>
        <v>0</v>
      </c>
      <c r="AG301" s="39"/>
      <c r="AH301" s="39">
        <f t="shared" ref="AH301:AH304" si="314">SUM(AE301:AF301)</f>
        <v>0</v>
      </c>
      <c r="AI301" s="34">
        <f>406560+406560</f>
        <v>813120</v>
      </c>
      <c r="AJ301" s="39">
        <f>0</f>
        <v>0</v>
      </c>
      <c r="AK301" s="39">
        <f t="shared" ref="AK301:AK304" si="315">SUM(AI301:AJ301)</f>
        <v>813120</v>
      </c>
      <c r="AL301" s="210">
        <f t="shared" ref="AL301:AL303" si="316">SUM(AK301+AH301+AD301)-AA301</f>
        <v>0</v>
      </c>
    </row>
    <row r="302" spans="2:46" ht="46.2" customHeight="1">
      <c r="B302" s="48" t="s">
        <v>148</v>
      </c>
      <c r="C302" s="195" t="s">
        <v>740</v>
      </c>
      <c r="D302" s="46"/>
      <c r="E302" s="198" t="s">
        <v>429</v>
      </c>
      <c r="F302" s="16" t="s">
        <v>168</v>
      </c>
      <c r="G302" s="16" t="s">
        <v>188</v>
      </c>
      <c r="H302" s="198">
        <v>2022</v>
      </c>
      <c r="I302" s="198">
        <v>2022</v>
      </c>
      <c r="J302" s="41">
        <f>'[1]Summary for IPSIS'!$H$227+'[1]Summary for IPSIS'!$I$227</f>
        <v>0</v>
      </c>
      <c r="K302" s="31">
        <f>'[1]Summary for IPSIS'!$J$227</f>
        <v>0</v>
      </c>
      <c r="L302" s="39">
        <f t="shared" si="305"/>
        <v>0</v>
      </c>
      <c r="M302" s="41">
        <f>'[1]Summary for IPSIS'!$T$227+'[1]Summary for IPSIS'!$U$227</f>
        <v>930000</v>
      </c>
      <c r="N302" s="31">
        <f>'[1]Summary for IPSIS'!$V$227</f>
        <v>0</v>
      </c>
      <c r="O302" s="39">
        <f t="shared" si="306"/>
        <v>930000</v>
      </c>
      <c r="P302" s="34">
        <f>'[1]Summary for IPSIS'!$AF$227+'[1]Summary for IPSIS'!$AG$227</f>
        <v>0</v>
      </c>
      <c r="Q302" s="39">
        <f>'[1]Summary for IPSIS'!$AH$227</f>
        <v>0</v>
      </c>
      <c r="R302" s="39">
        <f t="shared" si="307"/>
        <v>0</v>
      </c>
      <c r="S302" s="34">
        <f>'[1]Summary for IPSIS'!$AR$227+'[1]Summary for IPSIS'!$AS$227</f>
        <v>0</v>
      </c>
      <c r="T302" s="39">
        <f>'[1]Summary for IPSIS'!$AT$227</f>
        <v>0</v>
      </c>
      <c r="U302" s="39">
        <f t="shared" si="308"/>
        <v>0</v>
      </c>
      <c r="V302" s="34">
        <f>'[1]Summary for IPSIS'!$BD$227+'[1]Summary for IPSIS'!$BE$227</f>
        <v>0</v>
      </c>
      <c r="W302" s="39">
        <f>'[1]Summary for IPSIS'!$BF$227</f>
        <v>0</v>
      </c>
      <c r="X302" s="39">
        <f t="shared" si="309"/>
        <v>0</v>
      </c>
      <c r="Y302" s="39">
        <f t="shared" si="310"/>
        <v>930000</v>
      </c>
      <c r="Z302" s="39">
        <f t="shared" si="311"/>
        <v>0</v>
      </c>
      <c r="AA302" s="39">
        <f t="shared" si="312"/>
        <v>930000</v>
      </c>
      <c r="AB302" s="34">
        <f>0</f>
        <v>0</v>
      </c>
      <c r="AC302" s="39">
        <f>0</f>
        <v>0</v>
      </c>
      <c r="AD302" s="39">
        <f t="shared" si="313"/>
        <v>0</v>
      </c>
      <c r="AE302" s="34">
        <f>0</f>
        <v>0</v>
      </c>
      <c r="AF302" s="39">
        <f>0</f>
        <v>0</v>
      </c>
      <c r="AG302" s="39"/>
      <c r="AH302" s="39">
        <f t="shared" si="314"/>
        <v>0</v>
      </c>
      <c r="AI302" s="34">
        <f>0</f>
        <v>0</v>
      </c>
      <c r="AJ302" s="39">
        <f>0</f>
        <v>0</v>
      </c>
      <c r="AK302" s="39">
        <f t="shared" si="315"/>
        <v>0</v>
      </c>
      <c r="AL302" s="210">
        <f t="shared" si="316"/>
        <v>-930000</v>
      </c>
    </row>
    <row r="303" spans="2:46" ht="32.25" customHeight="1">
      <c r="B303" s="48" t="s">
        <v>186</v>
      </c>
      <c r="C303" s="186" t="s">
        <v>187</v>
      </c>
      <c r="D303" s="46"/>
      <c r="E303" s="181" t="s">
        <v>429</v>
      </c>
      <c r="F303" s="16" t="s">
        <v>168</v>
      </c>
      <c r="G303" s="17" t="s">
        <v>189</v>
      </c>
      <c r="H303" s="181">
        <v>2021</v>
      </c>
      <c r="I303" s="181">
        <v>2025</v>
      </c>
      <c r="J303" s="41">
        <f>'[1]Summary for IPSIS'!$H$228+'[1]Summary for IPSIS'!$I$228</f>
        <v>368688</v>
      </c>
      <c r="K303" s="31">
        <f>'[1]Summary for IPSIS'!$J$228</f>
        <v>0</v>
      </c>
      <c r="L303" s="39">
        <f t="shared" si="305"/>
        <v>368688</v>
      </c>
      <c r="M303" s="41">
        <f>'[1]Summary for IPSIS'!$T$228+'[1]Summary for IPSIS'!$U$228</f>
        <v>368688</v>
      </c>
      <c r="N303" s="31">
        <f>'[1]Summary for IPSIS'!$V$228</f>
        <v>0</v>
      </c>
      <c r="O303" s="39">
        <f t="shared" si="306"/>
        <v>368688</v>
      </c>
      <c r="P303" s="34">
        <f>'[1]Summary for IPSIS'!$AF$228+'[1]Summary for IPSIS'!$AG$228</f>
        <v>368688</v>
      </c>
      <c r="Q303" s="39">
        <f>'[1]Summary for IPSIS'!$AH$228</f>
        <v>0</v>
      </c>
      <c r="R303" s="39">
        <f t="shared" si="307"/>
        <v>368688</v>
      </c>
      <c r="S303" s="34">
        <f>'[1]Summary for IPSIS'!$AR$228+'[1]Summary for IPSIS'!$AS$228</f>
        <v>368688</v>
      </c>
      <c r="T303" s="39">
        <f>'[1]Summary for IPSIS'!$AT$228</f>
        <v>0</v>
      </c>
      <c r="U303" s="39">
        <f t="shared" si="308"/>
        <v>368688</v>
      </c>
      <c r="V303" s="34">
        <f>'[1]Summary for IPSIS'!$BD$228+'[1]Summary for IPSIS'!$BE$228</f>
        <v>368688</v>
      </c>
      <c r="W303" s="39">
        <f>'[1]Summary for IPSIS'!$BF$228</f>
        <v>0</v>
      </c>
      <c r="X303" s="39">
        <f t="shared" si="309"/>
        <v>368688</v>
      </c>
      <c r="Y303" s="39">
        <f t="shared" si="310"/>
        <v>1843440</v>
      </c>
      <c r="Z303" s="39">
        <f t="shared" si="311"/>
        <v>0</v>
      </c>
      <c r="AA303" s="39">
        <f t="shared" si="312"/>
        <v>1843440</v>
      </c>
      <c r="AB303" s="34">
        <f>368688+368688+368688</f>
        <v>1106064</v>
      </c>
      <c r="AC303" s="39">
        <v>0</v>
      </c>
      <c r="AD303" s="39">
        <f t="shared" si="313"/>
        <v>1106064</v>
      </c>
      <c r="AE303" s="34">
        <f>0</f>
        <v>0</v>
      </c>
      <c r="AF303" s="39">
        <f>0</f>
        <v>0</v>
      </c>
      <c r="AG303" s="39"/>
      <c r="AH303" s="39">
        <f t="shared" si="314"/>
        <v>0</v>
      </c>
      <c r="AI303" s="34">
        <f>368688+368688</f>
        <v>737376</v>
      </c>
      <c r="AJ303" s="39">
        <f>0</f>
        <v>0</v>
      </c>
      <c r="AK303" s="39">
        <f t="shared" si="315"/>
        <v>737376</v>
      </c>
      <c r="AL303" s="210">
        <f t="shared" si="316"/>
        <v>0</v>
      </c>
    </row>
    <row r="304" spans="2:46" ht="43.8" customHeight="1" thickBot="1">
      <c r="B304" s="233" t="s">
        <v>185</v>
      </c>
      <c r="C304" s="219" t="s">
        <v>184</v>
      </c>
      <c r="D304" s="178"/>
      <c r="E304" s="230" t="s">
        <v>429</v>
      </c>
      <c r="F304" s="21" t="s">
        <v>168</v>
      </c>
      <c r="G304" s="21"/>
      <c r="H304" s="182">
        <v>2021</v>
      </c>
      <c r="I304" s="182">
        <v>2025</v>
      </c>
      <c r="J304" s="74">
        <f>'[1]Summary for IPSIS'!$H$229+'[1]Summary for IPSIS'!$I$229</f>
        <v>300000</v>
      </c>
      <c r="K304" s="215">
        <f>'[1]Summary for IPSIS'!$J$229</f>
        <v>0</v>
      </c>
      <c r="L304" s="82">
        <f t="shared" si="305"/>
        <v>300000</v>
      </c>
      <c r="M304" s="74">
        <f>'[1]Summary for IPSIS'!$T$229+'[1]Summary for IPSIS'!$U$229</f>
        <v>303600</v>
      </c>
      <c r="N304" s="215">
        <f>'[1]Summary for IPSIS'!$V$229</f>
        <v>0</v>
      </c>
      <c r="O304" s="82">
        <f t="shared" si="306"/>
        <v>303600</v>
      </c>
      <c r="P304" s="234">
        <f>'[1]Summary for IPSIS'!$AF$229+'[1]Summary for IPSIS'!$AG$229</f>
        <v>303600</v>
      </c>
      <c r="Q304" s="82">
        <f>'[1]Summary for IPSIS'!$AH$229</f>
        <v>0</v>
      </c>
      <c r="R304" s="82">
        <f t="shared" si="307"/>
        <v>303600</v>
      </c>
      <c r="S304" s="234">
        <f>'[1]Summary for IPSIS'!$AR$229+'[1]Summary for IPSIS'!$AS$229</f>
        <v>303600</v>
      </c>
      <c r="T304" s="82">
        <f>'[1]Summary for IPSIS'!$AT$229</f>
        <v>0</v>
      </c>
      <c r="U304" s="82">
        <f t="shared" si="308"/>
        <v>303600</v>
      </c>
      <c r="V304" s="234">
        <f>'[1]Summary for IPSIS'!$BD$229+'[1]Summary for IPSIS'!$BE$229</f>
        <v>303600</v>
      </c>
      <c r="W304" s="82">
        <f>'[1]Summary for IPSIS'!$BF$229</f>
        <v>0</v>
      </c>
      <c r="X304" s="82">
        <f t="shared" si="309"/>
        <v>303600</v>
      </c>
      <c r="Y304" s="82">
        <f t="shared" si="310"/>
        <v>1514400</v>
      </c>
      <c r="Z304" s="82">
        <f t="shared" si="311"/>
        <v>0</v>
      </c>
      <c r="AA304" s="82">
        <f t="shared" si="312"/>
        <v>1514400</v>
      </c>
      <c r="AB304" s="234">
        <f>0</f>
        <v>0</v>
      </c>
      <c r="AC304" s="82">
        <f>0</f>
        <v>0</v>
      </c>
      <c r="AD304" s="82">
        <f t="shared" si="313"/>
        <v>0</v>
      </c>
      <c r="AE304" s="234">
        <f>0</f>
        <v>0</v>
      </c>
      <c r="AF304" s="82">
        <f>0</f>
        <v>0</v>
      </c>
      <c r="AG304" s="82"/>
      <c r="AH304" s="82">
        <f t="shared" si="314"/>
        <v>0</v>
      </c>
      <c r="AI304" s="234">
        <f>0</f>
        <v>0</v>
      </c>
      <c r="AJ304" s="82">
        <f>0</f>
        <v>0</v>
      </c>
      <c r="AK304" s="82">
        <f t="shared" si="315"/>
        <v>0</v>
      </c>
      <c r="AL304" s="217">
        <f>SUM(AK304+AH304+AD304)-AA304</f>
        <v>-1514400</v>
      </c>
    </row>
    <row r="305" spans="2:38" ht="27" customHeight="1" thickBot="1">
      <c r="B305" s="58"/>
      <c r="C305" s="65" t="s">
        <v>84</v>
      </c>
      <c r="D305" s="66"/>
      <c r="E305" s="66"/>
      <c r="F305" s="56"/>
      <c r="G305" s="56"/>
      <c r="H305" s="56"/>
      <c r="I305" s="56"/>
      <c r="J305" s="57">
        <f t="shared" ref="J305:L305" si="317">SUM(J299:J304)</f>
        <v>1319040</v>
      </c>
      <c r="K305" s="57">
        <f t="shared" si="317"/>
        <v>0</v>
      </c>
      <c r="L305" s="57">
        <f t="shared" si="317"/>
        <v>1319040</v>
      </c>
      <c r="M305" s="57">
        <f t="shared" ref="M305:AL305" si="318">SUM(M299:M304)</f>
        <v>2008848</v>
      </c>
      <c r="N305" s="57">
        <f t="shared" si="318"/>
        <v>0</v>
      </c>
      <c r="O305" s="57">
        <f t="shared" si="318"/>
        <v>2008848</v>
      </c>
      <c r="P305" s="57">
        <f t="shared" si="318"/>
        <v>1078848</v>
      </c>
      <c r="Q305" s="57">
        <f t="shared" si="318"/>
        <v>0</v>
      </c>
      <c r="R305" s="57">
        <f t="shared" si="318"/>
        <v>1078848</v>
      </c>
      <c r="S305" s="57">
        <f t="shared" si="318"/>
        <v>1078848</v>
      </c>
      <c r="T305" s="57">
        <f t="shared" si="318"/>
        <v>0</v>
      </c>
      <c r="U305" s="57">
        <f t="shared" si="318"/>
        <v>1078848</v>
      </c>
      <c r="V305" s="57">
        <f t="shared" si="318"/>
        <v>1078848</v>
      </c>
      <c r="W305" s="57">
        <f t="shared" si="318"/>
        <v>0</v>
      </c>
      <c r="X305" s="57">
        <f t="shared" si="318"/>
        <v>1078848</v>
      </c>
      <c r="Y305" s="57">
        <f t="shared" si="318"/>
        <v>6564432</v>
      </c>
      <c r="Z305" s="57">
        <f t="shared" si="318"/>
        <v>0</v>
      </c>
      <c r="AA305" s="57">
        <f t="shared" si="318"/>
        <v>6564432</v>
      </c>
      <c r="AB305" s="57">
        <f t="shared" si="318"/>
        <v>2569536</v>
      </c>
      <c r="AC305" s="57">
        <f t="shared" si="318"/>
        <v>0</v>
      </c>
      <c r="AD305" s="57">
        <f t="shared" si="318"/>
        <v>2569536</v>
      </c>
      <c r="AE305" s="57">
        <f t="shared" si="318"/>
        <v>0</v>
      </c>
      <c r="AF305" s="57">
        <f t="shared" si="318"/>
        <v>0</v>
      </c>
      <c r="AG305" s="57"/>
      <c r="AH305" s="57">
        <f>SUM(AH299:AH304)</f>
        <v>0</v>
      </c>
      <c r="AI305" s="57">
        <f t="shared" si="318"/>
        <v>1550496</v>
      </c>
      <c r="AJ305" s="57">
        <f t="shared" si="318"/>
        <v>0</v>
      </c>
      <c r="AK305" s="57">
        <f t="shared" si="318"/>
        <v>1550496</v>
      </c>
      <c r="AL305" s="218">
        <f t="shared" si="318"/>
        <v>-2444400</v>
      </c>
    </row>
    <row r="306" spans="2:38" ht="43.8" customHeight="1">
      <c r="B306" s="161">
        <v>8.1999999999999993</v>
      </c>
      <c r="C306" s="283" t="s">
        <v>150</v>
      </c>
      <c r="D306" s="283"/>
      <c r="E306" s="208"/>
      <c r="F306" s="75"/>
      <c r="G306" s="75"/>
      <c r="H306" s="81"/>
      <c r="I306" s="81"/>
      <c r="J306" s="80"/>
      <c r="K306" s="80"/>
      <c r="L306" s="78"/>
      <c r="M306" s="80"/>
      <c r="N306" s="80"/>
      <c r="O306" s="78"/>
      <c r="P306" s="80"/>
      <c r="Q306" s="78"/>
      <c r="R306" s="78"/>
      <c r="S306" s="80"/>
      <c r="T306" s="78"/>
      <c r="U306" s="78"/>
      <c r="V306" s="80"/>
      <c r="W306" s="78"/>
      <c r="X306" s="78"/>
      <c r="Y306" s="78"/>
      <c r="Z306" s="78"/>
      <c r="AA306" s="78"/>
      <c r="AB306" s="80"/>
      <c r="AC306" s="78"/>
      <c r="AD306" s="78"/>
      <c r="AE306" s="80"/>
      <c r="AF306" s="78"/>
      <c r="AG306" s="78"/>
      <c r="AH306" s="78"/>
      <c r="AI306" s="80"/>
      <c r="AJ306" s="78"/>
      <c r="AK306" s="78"/>
      <c r="AL306" s="79"/>
    </row>
    <row r="307" spans="2:38" ht="27" customHeight="1">
      <c r="B307" s="162"/>
      <c r="C307" s="113" t="s">
        <v>141</v>
      </c>
      <c r="D307" s="60"/>
      <c r="E307" s="60"/>
      <c r="F307" s="18"/>
      <c r="G307" s="18"/>
      <c r="H307" s="15"/>
      <c r="I307" s="15"/>
      <c r="J307" s="34"/>
      <c r="K307" s="34"/>
      <c r="L307" s="39"/>
      <c r="M307" s="34"/>
      <c r="N307" s="34"/>
      <c r="O307" s="39"/>
      <c r="P307" s="34"/>
      <c r="Q307" s="39"/>
      <c r="R307" s="39"/>
      <c r="S307" s="34"/>
      <c r="T307" s="39"/>
      <c r="U307" s="39"/>
      <c r="V307" s="34"/>
      <c r="W307" s="39"/>
      <c r="X307" s="39"/>
      <c r="Y307" s="39"/>
      <c r="Z307" s="39"/>
      <c r="AA307" s="39"/>
      <c r="AB307" s="34"/>
      <c r="AC307" s="39"/>
      <c r="AD307" s="39"/>
      <c r="AE307" s="34"/>
      <c r="AF307" s="39"/>
      <c r="AG307" s="39"/>
      <c r="AH307" s="39"/>
      <c r="AI307" s="34"/>
      <c r="AJ307" s="39"/>
      <c r="AK307" s="39"/>
      <c r="AL307" s="40"/>
    </row>
    <row r="308" spans="2:38" ht="40.200000000000003" customHeight="1">
      <c r="B308" s="48" t="s">
        <v>151</v>
      </c>
      <c r="C308" s="13" t="s">
        <v>182</v>
      </c>
      <c r="D308" s="14"/>
      <c r="E308" s="187" t="s">
        <v>720</v>
      </c>
      <c r="F308" s="16" t="s">
        <v>168</v>
      </c>
      <c r="G308" s="16"/>
      <c r="H308" s="200">
        <v>2022</v>
      </c>
      <c r="I308" s="200">
        <v>2023</v>
      </c>
      <c r="J308" s="31">
        <f>'[1]Summary for IPSIS'!$H$231+'[1]Summary for IPSIS'!$I$231</f>
        <v>0</v>
      </c>
      <c r="K308" s="31">
        <f>'[1]Summary for IPSIS'!$J$231</f>
        <v>0</v>
      </c>
      <c r="L308" s="39">
        <f>SUM(J308:K308)</f>
        <v>0</v>
      </c>
      <c r="M308" s="31">
        <f>'[1]Summary for IPSIS'!$T$231+'[1]Summary for IPSIS'!$U$231</f>
        <v>2310240</v>
      </c>
      <c r="N308" s="31">
        <f>'[1]Summary for IPSIS'!$V$231</f>
        <v>0</v>
      </c>
      <c r="O308" s="39">
        <f>SUM(M308:N308)</f>
        <v>2310240</v>
      </c>
      <c r="P308" s="34">
        <f>'[1]Summary for IPSIS'!$AF$231+'[1]Summary for IPSIS'!$AG$231</f>
        <v>2310240</v>
      </c>
      <c r="Q308" s="39">
        <f>'[1]Summary for IPSIS'!$AH$231</f>
        <v>0</v>
      </c>
      <c r="R308" s="39">
        <f>SUM(P308:Q308)</f>
        <v>2310240</v>
      </c>
      <c r="S308" s="34">
        <f>'[1]Summary for IPSIS'!$AR$231+'[1]Summary for IPSIS'!$AS$231</f>
        <v>0</v>
      </c>
      <c r="T308" s="39">
        <f>'[1]Summary for IPSIS'!$AT$231</f>
        <v>0</v>
      </c>
      <c r="U308" s="39">
        <f>SUM(S308:T308)</f>
        <v>0</v>
      </c>
      <c r="V308" s="34">
        <f>'[1]Summary for IPSIS'!$BD$231+'[1]Summary for IPSIS'!$BE$231</f>
        <v>0</v>
      </c>
      <c r="W308" s="39">
        <f>'[1]Summary for IPSIS'!$BF$231</f>
        <v>0</v>
      </c>
      <c r="X308" s="39">
        <f>SUM(V308:W308)</f>
        <v>0</v>
      </c>
      <c r="Y308" s="39">
        <f>J308+M308+P308+S308+V308</f>
        <v>4620480</v>
      </c>
      <c r="Z308" s="39">
        <f>K308+N308+Q308+T308+W308</f>
        <v>0</v>
      </c>
      <c r="AA308" s="39">
        <f>SUM(Y308:Z308)</f>
        <v>4620480</v>
      </c>
      <c r="AB308" s="34">
        <f>1626240+1626240</f>
        <v>3252480</v>
      </c>
      <c r="AC308" s="39">
        <f>0</f>
        <v>0</v>
      </c>
      <c r="AD308" s="39">
        <f>SUM(AB308:AC308)</f>
        <v>3252480</v>
      </c>
      <c r="AE308" s="34">
        <f>0</f>
        <v>0</v>
      </c>
      <c r="AF308" s="39">
        <f>0</f>
        <v>0</v>
      </c>
      <c r="AG308" s="39"/>
      <c r="AH308" s="39">
        <f>SUM(AE308+AF308)</f>
        <v>0</v>
      </c>
      <c r="AI308" s="34">
        <f>0</f>
        <v>0</v>
      </c>
      <c r="AJ308" s="39">
        <f>0</f>
        <v>0</v>
      </c>
      <c r="AK308" s="39">
        <f>SUM(AI308:AJ308)</f>
        <v>0</v>
      </c>
      <c r="AL308" s="210">
        <f t="shared" ref="AL308:AL315" si="319">SUM(AK308+AH308+AD308)-AA308</f>
        <v>-1368000</v>
      </c>
    </row>
    <row r="309" spans="2:38" ht="46.2" customHeight="1">
      <c r="B309" s="48" t="s">
        <v>152</v>
      </c>
      <c r="C309" s="13" t="s">
        <v>183</v>
      </c>
      <c r="D309" s="14"/>
      <c r="E309" s="189" t="s">
        <v>429</v>
      </c>
      <c r="F309" s="16" t="s">
        <v>168</v>
      </c>
      <c r="G309" s="16"/>
      <c r="H309" s="200">
        <v>2022</v>
      </c>
      <c r="I309" s="200">
        <v>2022</v>
      </c>
      <c r="J309" s="31">
        <f>'[1]Summary for IPSIS'!$H$232+'[1]Summary for IPSIS'!$I$232</f>
        <v>0</v>
      </c>
      <c r="K309" s="31">
        <f>'[1]Summary for IPSIS'!$J$232</f>
        <v>0</v>
      </c>
      <c r="L309" s="39">
        <f t="shared" ref="L309:L315" si="320">SUM(J309:K309)</f>
        <v>0</v>
      </c>
      <c r="M309" s="31">
        <f>'[1]Summary for IPSIS'!$T$232+'[1]Summary for IPSIS'!$U$232</f>
        <v>912000</v>
      </c>
      <c r="N309" s="31">
        <f>'[1]Summary for IPSIS'!$V$232</f>
        <v>0</v>
      </c>
      <c r="O309" s="39">
        <f t="shared" ref="O309:O315" si="321">SUM(M309:N309)</f>
        <v>912000</v>
      </c>
      <c r="P309" s="34">
        <f>'[1]Summary for IPSIS'!$AF$232+'[1]Summary for IPSIS'!$AG$232</f>
        <v>0</v>
      </c>
      <c r="Q309" s="39">
        <f>'[1]Summary for IPSIS'!$AH$232</f>
        <v>0</v>
      </c>
      <c r="R309" s="39">
        <f t="shared" ref="R309:R315" si="322">SUM(P309:Q309)</f>
        <v>0</v>
      </c>
      <c r="S309" s="34">
        <f>'[1]Summary for IPSIS'!$AR$232+'[1]Summary for IPSIS'!$AS$232</f>
        <v>0</v>
      </c>
      <c r="T309" s="39">
        <f>'[1]Summary for IPSIS'!$AT$232</f>
        <v>0</v>
      </c>
      <c r="U309" s="39">
        <f t="shared" ref="U309:U315" si="323">SUM(S309:T309)</f>
        <v>0</v>
      </c>
      <c r="V309" s="34">
        <f>'[1]Summary for IPSIS'!$BD$232+'[1]Summary for IPSIS'!$BE$232</f>
        <v>0</v>
      </c>
      <c r="W309" s="39">
        <f>'[1]Summary for IPSIS'!$BF$232</f>
        <v>0</v>
      </c>
      <c r="X309" s="39">
        <f t="shared" ref="X309:X315" si="324">SUM(V309:W309)</f>
        <v>0</v>
      </c>
      <c r="Y309" s="39">
        <f t="shared" ref="Y309:Y315" si="325">J309+M309+P309+S309+V309</f>
        <v>912000</v>
      </c>
      <c r="Z309" s="39">
        <f t="shared" ref="Z309:Z315" si="326">K309+N309+Q309+T309+W309</f>
        <v>0</v>
      </c>
      <c r="AA309" s="39">
        <f t="shared" ref="AA309:AA315" si="327">SUM(Y309:Z309)</f>
        <v>912000</v>
      </c>
      <c r="AB309" s="34">
        <f>0</f>
        <v>0</v>
      </c>
      <c r="AC309" s="39">
        <f>0</f>
        <v>0</v>
      </c>
      <c r="AD309" s="39">
        <f t="shared" ref="AD309:AD315" si="328">SUM(AB309:AC309)</f>
        <v>0</v>
      </c>
      <c r="AE309" s="34">
        <f>0</f>
        <v>0</v>
      </c>
      <c r="AF309" s="39">
        <f>0</f>
        <v>0</v>
      </c>
      <c r="AG309" s="39"/>
      <c r="AH309" s="39">
        <f t="shared" ref="AH309:AH315" si="329">SUM(AE309+AF309)</f>
        <v>0</v>
      </c>
      <c r="AI309" s="34">
        <f>0</f>
        <v>0</v>
      </c>
      <c r="AJ309" s="39">
        <f>0</f>
        <v>0</v>
      </c>
      <c r="AK309" s="39">
        <f t="shared" ref="AK309:AK315" si="330">SUM(AI309:AJ309)</f>
        <v>0</v>
      </c>
      <c r="AL309" s="210">
        <f t="shared" si="319"/>
        <v>-912000</v>
      </c>
    </row>
    <row r="310" spans="2:38" ht="32.25" customHeight="1">
      <c r="B310" s="48" t="s">
        <v>153</v>
      </c>
      <c r="C310" s="13" t="s">
        <v>181</v>
      </c>
      <c r="D310" s="14"/>
      <c r="E310" s="187" t="s">
        <v>429</v>
      </c>
      <c r="F310" s="16" t="s">
        <v>168</v>
      </c>
      <c r="G310" s="16"/>
      <c r="H310" s="200">
        <v>2021</v>
      </c>
      <c r="I310" s="200">
        <v>2025</v>
      </c>
      <c r="J310" s="31">
        <f>'[1]Summary for IPSIS'!$H$233+'[1]Summary for IPSIS'!$I$233</f>
        <v>1037376</v>
      </c>
      <c r="K310" s="31">
        <f>'[1]Summary for IPSIS'!$J$233</f>
        <v>0</v>
      </c>
      <c r="L310" s="39">
        <f t="shared" si="320"/>
        <v>1037376</v>
      </c>
      <c r="M310" s="31">
        <f>'[1]Summary for IPSIS'!$T$233+'[1]Summary for IPSIS'!$U$233</f>
        <v>1037376</v>
      </c>
      <c r="N310" s="31">
        <f>'[1]Summary for IPSIS'!$V$233</f>
        <v>0</v>
      </c>
      <c r="O310" s="39">
        <f t="shared" si="321"/>
        <v>1037376</v>
      </c>
      <c r="P310" s="34">
        <f>'[1]Summary for IPSIS'!$AF$233+'[1]Summary for IPSIS'!$AG$233</f>
        <v>1037376</v>
      </c>
      <c r="Q310" s="39">
        <f>'[1]Summary for IPSIS'!$AH$233</f>
        <v>0</v>
      </c>
      <c r="R310" s="39">
        <f t="shared" si="322"/>
        <v>1037376</v>
      </c>
      <c r="S310" s="34">
        <f>'[1]Summary for IPSIS'!$AR$233+'[1]Summary for IPSIS'!$AS$233</f>
        <v>1037376</v>
      </c>
      <c r="T310" s="39">
        <f>'[1]Summary for IPSIS'!$AT$233</f>
        <v>0</v>
      </c>
      <c r="U310" s="39">
        <f t="shared" si="323"/>
        <v>1037376</v>
      </c>
      <c r="V310" s="34">
        <f>'[1]Summary for IPSIS'!$BD$233+'[1]Summary for IPSIS'!$BE$233</f>
        <v>1037376</v>
      </c>
      <c r="W310" s="39">
        <f>'[1]Summary for IPSIS'!$BF$233</f>
        <v>0</v>
      </c>
      <c r="X310" s="39">
        <f t="shared" si="324"/>
        <v>1037376</v>
      </c>
      <c r="Y310" s="39">
        <f t="shared" si="325"/>
        <v>5186880</v>
      </c>
      <c r="Z310" s="39">
        <f t="shared" si="326"/>
        <v>0</v>
      </c>
      <c r="AA310" s="39">
        <f t="shared" si="327"/>
        <v>5186880</v>
      </c>
      <c r="AB310" s="34">
        <f>1037376+1037376+1037376</f>
        <v>3112128</v>
      </c>
      <c r="AC310" s="39">
        <f>0</f>
        <v>0</v>
      </c>
      <c r="AD310" s="39">
        <f t="shared" si="328"/>
        <v>3112128</v>
      </c>
      <c r="AE310" s="34">
        <f>0</f>
        <v>0</v>
      </c>
      <c r="AF310" s="39">
        <f>0</f>
        <v>0</v>
      </c>
      <c r="AG310" s="39"/>
      <c r="AH310" s="39">
        <f t="shared" si="329"/>
        <v>0</v>
      </c>
      <c r="AI310" s="34">
        <f>1037376+1037376</f>
        <v>2074752</v>
      </c>
      <c r="AJ310" s="39">
        <f>0</f>
        <v>0</v>
      </c>
      <c r="AK310" s="39">
        <f t="shared" si="330"/>
        <v>2074752</v>
      </c>
      <c r="AL310" s="210">
        <f t="shared" si="319"/>
        <v>0</v>
      </c>
    </row>
    <row r="311" spans="2:38" ht="32.25" customHeight="1">
      <c r="B311" s="48" t="s">
        <v>154</v>
      </c>
      <c r="C311" s="13" t="s">
        <v>180</v>
      </c>
      <c r="D311" s="14"/>
      <c r="E311" s="187" t="s">
        <v>429</v>
      </c>
      <c r="F311" s="16" t="s">
        <v>168</v>
      </c>
      <c r="G311" s="16"/>
      <c r="H311" s="200">
        <v>2021</v>
      </c>
      <c r="I311" s="200">
        <v>2025</v>
      </c>
      <c r="J311" s="31">
        <f>'[1]Summary for IPSIS'!$H$234+'[1]Summary for IPSIS'!$I$234</f>
        <v>0</v>
      </c>
      <c r="K311" s="31">
        <f>'[1]Summary for IPSIS'!$J$234</f>
        <v>0</v>
      </c>
      <c r="L311" s="39">
        <f t="shared" si="320"/>
        <v>0</v>
      </c>
      <c r="M311" s="31">
        <f>'[1]Summary for IPSIS'!$T$234+'[1]Summary for IPSIS'!$U$234</f>
        <v>1003320</v>
      </c>
      <c r="N311" s="31">
        <f>'[1]Summary for IPSIS'!$V$234</f>
        <v>0</v>
      </c>
      <c r="O311" s="39">
        <f t="shared" si="321"/>
        <v>1003320</v>
      </c>
      <c r="P311" s="34">
        <f>'[1]Summary for IPSIS'!$AF$234+'[1]Summary for IPSIS'!$AG$234</f>
        <v>0</v>
      </c>
      <c r="Q311" s="39">
        <f>'[1]Summary for IPSIS'!$AH$234</f>
        <v>0</v>
      </c>
      <c r="R311" s="39">
        <f t="shared" si="322"/>
        <v>0</v>
      </c>
      <c r="S311" s="34">
        <f>'[1]Summary for IPSIS'!$AR$234+'[1]Summary for IPSIS'!$AS$234</f>
        <v>1003320</v>
      </c>
      <c r="T311" s="39">
        <f>'[1]Summary for IPSIS'!$AT$234</f>
        <v>0</v>
      </c>
      <c r="U311" s="39">
        <f t="shared" si="323"/>
        <v>1003320</v>
      </c>
      <c r="V311" s="34">
        <f>'[1]Summary for IPSIS'!$BD$234+'[1]Summary for IPSIS'!$BE$234</f>
        <v>0</v>
      </c>
      <c r="W311" s="39">
        <f>'[1]Summary for IPSIS'!$BF$234</f>
        <v>0</v>
      </c>
      <c r="X311" s="39">
        <f t="shared" si="324"/>
        <v>0</v>
      </c>
      <c r="Y311" s="39">
        <f t="shared" si="325"/>
        <v>2006640</v>
      </c>
      <c r="Z311" s="39">
        <f t="shared" si="326"/>
        <v>0</v>
      </c>
      <c r="AA311" s="39">
        <f t="shared" si="327"/>
        <v>2006640</v>
      </c>
      <c r="AB311" s="34">
        <f>329320</f>
        <v>329320</v>
      </c>
      <c r="AC311" s="39">
        <f>0</f>
        <v>0</v>
      </c>
      <c r="AD311" s="39">
        <f t="shared" si="328"/>
        <v>329320</v>
      </c>
      <c r="AE311" s="34">
        <f>0</f>
        <v>0</v>
      </c>
      <c r="AF311" s="39">
        <f>0</f>
        <v>0</v>
      </c>
      <c r="AG311" s="39"/>
      <c r="AH311" s="39">
        <f t="shared" si="329"/>
        <v>0</v>
      </c>
      <c r="AI311" s="34">
        <f>329320+0</f>
        <v>329320</v>
      </c>
      <c r="AJ311" s="39">
        <f>0</f>
        <v>0</v>
      </c>
      <c r="AK311" s="39">
        <f t="shared" si="330"/>
        <v>329320</v>
      </c>
      <c r="AL311" s="210">
        <f t="shared" si="319"/>
        <v>-1348000</v>
      </c>
    </row>
    <row r="312" spans="2:38" ht="41.4" customHeight="1">
      <c r="B312" s="48" t="s">
        <v>170</v>
      </c>
      <c r="C312" s="13" t="s">
        <v>179</v>
      </c>
      <c r="D312" s="14"/>
      <c r="E312" s="187" t="s">
        <v>720</v>
      </c>
      <c r="F312" s="16" t="s">
        <v>168</v>
      </c>
      <c r="G312" s="16"/>
      <c r="H312" s="200">
        <v>2021</v>
      </c>
      <c r="I312" s="200">
        <v>2025</v>
      </c>
      <c r="J312" s="31">
        <f>'[1]Summary for IPSIS'!$H$235+'[1]Summary for IPSIS'!$I$235</f>
        <v>331040</v>
      </c>
      <c r="K312" s="31">
        <f>'[1]Summary for IPSIS'!$J$235</f>
        <v>0</v>
      </c>
      <c r="L312" s="39">
        <f t="shared" si="320"/>
        <v>331040</v>
      </c>
      <c r="M312" s="31">
        <f>'[1]Summary for IPSIS'!$T$235+'[1]Summary for IPSIS'!$U$235</f>
        <v>331040</v>
      </c>
      <c r="N312" s="31">
        <f>'[1]Summary for IPSIS'!$V$235</f>
        <v>0</v>
      </c>
      <c r="O312" s="39">
        <f t="shared" si="321"/>
        <v>331040</v>
      </c>
      <c r="P312" s="34">
        <f>'[1]Summary for IPSIS'!$AF$235+'[1]Summary for IPSIS'!$AG$235</f>
        <v>331040</v>
      </c>
      <c r="Q312" s="39">
        <f>'[1]Summary for IPSIS'!$AH$235</f>
        <v>0</v>
      </c>
      <c r="R312" s="39">
        <f t="shared" si="322"/>
        <v>331040</v>
      </c>
      <c r="S312" s="34">
        <f>'[1]Summary for IPSIS'!$AR$235+'[1]Summary for IPSIS'!$AS$235</f>
        <v>331040</v>
      </c>
      <c r="T312" s="39">
        <f>'[1]Summary for IPSIS'!$AT$235</f>
        <v>0</v>
      </c>
      <c r="U312" s="39">
        <f t="shared" si="323"/>
        <v>331040</v>
      </c>
      <c r="V312" s="34">
        <f>'[1]Summary for IPSIS'!$BD$235+'[1]Summary for IPSIS'!$BE$235</f>
        <v>331040</v>
      </c>
      <c r="W312" s="39">
        <f>'[1]Summary for IPSIS'!$BF$235</f>
        <v>0</v>
      </c>
      <c r="X312" s="39">
        <f t="shared" si="324"/>
        <v>331040</v>
      </c>
      <c r="Y312" s="39">
        <f t="shared" si="325"/>
        <v>1655200</v>
      </c>
      <c r="Z312" s="39">
        <f t="shared" si="326"/>
        <v>0</v>
      </c>
      <c r="AA312" s="39">
        <f t="shared" si="327"/>
        <v>1655200</v>
      </c>
      <c r="AB312" s="34">
        <f>331040+331040+331040</f>
        <v>993120</v>
      </c>
      <c r="AC312" s="39">
        <f>0</f>
        <v>0</v>
      </c>
      <c r="AD312" s="39">
        <f t="shared" si="328"/>
        <v>993120</v>
      </c>
      <c r="AE312" s="34">
        <f>0</f>
        <v>0</v>
      </c>
      <c r="AF312" s="39">
        <f>0</f>
        <v>0</v>
      </c>
      <c r="AG312" s="39"/>
      <c r="AH312" s="39">
        <f t="shared" si="329"/>
        <v>0</v>
      </c>
      <c r="AI312" s="34">
        <f>331040+331040</f>
        <v>662080</v>
      </c>
      <c r="AJ312" s="39">
        <f>0</f>
        <v>0</v>
      </c>
      <c r="AK312" s="39">
        <f t="shared" si="330"/>
        <v>662080</v>
      </c>
      <c r="AL312" s="210">
        <f t="shared" si="319"/>
        <v>0</v>
      </c>
    </row>
    <row r="313" spans="2:38" ht="32.25" customHeight="1">
      <c r="B313" s="48" t="s">
        <v>171</v>
      </c>
      <c r="C313" s="13" t="s">
        <v>178</v>
      </c>
      <c r="D313" s="14"/>
      <c r="E313" s="187" t="s">
        <v>720</v>
      </c>
      <c r="F313" s="16" t="s">
        <v>168</v>
      </c>
      <c r="G313" s="16"/>
      <c r="H313" s="200">
        <v>2021</v>
      </c>
      <c r="I313" s="200">
        <v>2025</v>
      </c>
      <c r="J313" s="31">
        <f>'[1]Summary for IPSIS'!$H$236+'[1]Summary for IPSIS'!$I$236</f>
        <v>240220</v>
      </c>
      <c r="K313" s="31">
        <f>'[1]Summary for IPSIS'!$J$235</f>
        <v>0</v>
      </c>
      <c r="L313" s="39">
        <f t="shared" si="320"/>
        <v>240220</v>
      </c>
      <c r="M313" s="31">
        <f>'[1]Summary for IPSIS'!$T$236+'[1]Summary for IPSIS'!$U$236</f>
        <v>240220</v>
      </c>
      <c r="N313" s="31">
        <f>'[1]Summary for IPSIS'!$V$236</f>
        <v>0</v>
      </c>
      <c r="O313" s="39">
        <f t="shared" si="321"/>
        <v>240220</v>
      </c>
      <c r="P313" s="34">
        <f>'[1]Summary for IPSIS'!$AF$236+'[1]Summary for IPSIS'!$AG$236</f>
        <v>240220</v>
      </c>
      <c r="Q313" s="39">
        <f>'[1]Summary for IPSIS'!$AH$236</f>
        <v>0</v>
      </c>
      <c r="R313" s="39">
        <f t="shared" si="322"/>
        <v>240220</v>
      </c>
      <c r="S313" s="34">
        <f>'[1]Summary for IPSIS'!$AR$236+'[1]Summary for IPSIS'!$AS$236</f>
        <v>240220</v>
      </c>
      <c r="T313" s="39">
        <f>'[1]Summary for IPSIS'!$AT$236</f>
        <v>0</v>
      </c>
      <c r="U313" s="39">
        <f t="shared" si="323"/>
        <v>240220</v>
      </c>
      <c r="V313" s="34">
        <f>'[1]Summary for IPSIS'!$BD$236+'[1]Summary for IPSIS'!$BE$236</f>
        <v>240220</v>
      </c>
      <c r="W313" s="39">
        <f>'[1]Summary for IPSIS'!$BF$236</f>
        <v>0</v>
      </c>
      <c r="X313" s="39">
        <f t="shared" si="324"/>
        <v>240220</v>
      </c>
      <c r="Y313" s="39">
        <f t="shared" si="325"/>
        <v>1201100</v>
      </c>
      <c r="Z313" s="39">
        <f t="shared" si="326"/>
        <v>0</v>
      </c>
      <c r="AA313" s="39">
        <f t="shared" si="327"/>
        <v>1201100</v>
      </c>
      <c r="AB313" s="34">
        <f>240220+240220+240220</f>
        <v>720660</v>
      </c>
      <c r="AC313" s="39">
        <f>0</f>
        <v>0</v>
      </c>
      <c r="AD313" s="39">
        <f t="shared" si="328"/>
        <v>720660</v>
      </c>
      <c r="AE313" s="34">
        <f>0</f>
        <v>0</v>
      </c>
      <c r="AF313" s="39">
        <f>0</f>
        <v>0</v>
      </c>
      <c r="AG313" s="39"/>
      <c r="AH313" s="39">
        <f t="shared" si="329"/>
        <v>0</v>
      </c>
      <c r="AI313" s="34">
        <f>240220+240220</f>
        <v>480440</v>
      </c>
      <c r="AJ313" s="39">
        <f>0</f>
        <v>0</v>
      </c>
      <c r="AK313" s="39">
        <f t="shared" si="330"/>
        <v>480440</v>
      </c>
      <c r="AL313" s="210">
        <f t="shared" si="319"/>
        <v>0</v>
      </c>
    </row>
    <row r="314" spans="2:38" ht="51" customHeight="1">
      <c r="B314" s="48" t="s">
        <v>172</v>
      </c>
      <c r="C314" s="13" t="s">
        <v>177</v>
      </c>
      <c r="D314" s="14"/>
      <c r="E314" s="187" t="s">
        <v>720</v>
      </c>
      <c r="F314" s="16" t="s">
        <v>168</v>
      </c>
      <c r="G314" s="16"/>
      <c r="H314" s="200">
        <v>2021</v>
      </c>
      <c r="I314" s="200">
        <v>2025</v>
      </c>
      <c r="J314" s="31">
        <f>'[1]Summary for IPSIS'!$H$237+'[1]Summary for IPSIS'!$I$237</f>
        <v>240220</v>
      </c>
      <c r="K314" s="31">
        <f>'[1]Summary for IPSIS'!$J$237</f>
        <v>0</v>
      </c>
      <c r="L314" s="39">
        <f t="shared" si="320"/>
        <v>240220</v>
      </c>
      <c r="M314" s="31">
        <f>'[1]Summary for IPSIS'!$T$237+'[1]Summary for IPSIS'!$U$237</f>
        <v>240220</v>
      </c>
      <c r="N314" s="31">
        <f>'[1]Summary for IPSIS'!$V$237</f>
        <v>0</v>
      </c>
      <c r="O314" s="39">
        <f t="shared" si="321"/>
        <v>240220</v>
      </c>
      <c r="P314" s="34">
        <f>'[1]Summary for IPSIS'!$AF$237+'[1]Summary for IPSIS'!$AG$237</f>
        <v>240220</v>
      </c>
      <c r="Q314" s="39">
        <f>'[1]Summary for IPSIS'!$AH$237</f>
        <v>0</v>
      </c>
      <c r="R314" s="39">
        <f t="shared" si="322"/>
        <v>240220</v>
      </c>
      <c r="S314" s="34">
        <f>'[1]Summary for IPSIS'!$AR$237+'[1]Summary for IPSIS'!$AS$237</f>
        <v>240220</v>
      </c>
      <c r="T314" s="39">
        <f>'[1]Summary for IPSIS'!$AT$237</f>
        <v>0</v>
      </c>
      <c r="U314" s="39">
        <f t="shared" si="323"/>
        <v>240220</v>
      </c>
      <c r="V314" s="34">
        <f>'[1]Summary for IPSIS'!$BD$237+'[1]Summary for IPSIS'!$BE$237</f>
        <v>240220</v>
      </c>
      <c r="W314" s="39">
        <f>'[1]Summary for IPSIS'!$BF$237</f>
        <v>0</v>
      </c>
      <c r="X314" s="39">
        <f t="shared" si="324"/>
        <v>240220</v>
      </c>
      <c r="Y314" s="39">
        <f t="shared" si="325"/>
        <v>1201100</v>
      </c>
      <c r="Z314" s="39">
        <f t="shared" si="326"/>
        <v>0</v>
      </c>
      <c r="AA314" s="39">
        <f t="shared" si="327"/>
        <v>1201100</v>
      </c>
      <c r="AB314" s="34">
        <f>240220+240220+240220</f>
        <v>720660</v>
      </c>
      <c r="AC314" s="39">
        <f>0</f>
        <v>0</v>
      </c>
      <c r="AD314" s="39">
        <f t="shared" si="328"/>
        <v>720660</v>
      </c>
      <c r="AE314" s="34">
        <f>0</f>
        <v>0</v>
      </c>
      <c r="AF314" s="39">
        <f>0</f>
        <v>0</v>
      </c>
      <c r="AG314" s="39"/>
      <c r="AH314" s="39">
        <f t="shared" si="329"/>
        <v>0</v>
      </c>
      <c r="AI314" s="34">
        <f>240220+240220</f>
        <v>480440</v>
      </c>
      <c r="AJ314" s="39">
        <f>0</f>
        <v>0</v>
      </c>
      <c r="AK314" s="39">
        <f t="shared" si="330"/>
        <v>480440</v>
      </c>
      <c r="AL314" s="210">
        <f t="shared" si="319"/>
        <v>0</v>
      </c>
    </row>
    <row r="315" spans="2:38" ht="47.4" customHeight="1" thickBot="1">
      <c r="B315" s="233" t="s">
        <v>173</v>
      </c>
      <c r="C315" s="243" t="s">
        <v>174</v>
      </c>
      <c r="D315" s="20"/>
      <c r="E315" s="213" t="s">
        <v>429</v>
      </c>
      <c r="F315" s="21" t="s">
        <v>168</v>
      </c>
      <c r="G315" s="21"/>
      <c r="H315" s="235">
        <v>2021</v>
      </c>
      <c r="I315" s="235">
        <v>2025</v>
      </c>
      <c r="J315" s="215">
        <f>'[1]Summary for IPSIS'!$H$238+'[1]Summary for IPSIS'!$I$238</f>
        <v>91184</v>
      </c>
      <c r="K315" s="215">
        <f>'[1]Summary for IPSIS'!$J$238</f>
        <v>0</v>
      </c>
      <c r="L315" s="82">
        <f t="shared" si="320"/>
        <v>91184</v>
      </c>
      <c r="M315" s="215">
        <f>'[1]Summary for IPSIS'!$T$238+'[1]Summary for IPSIS'!$U$238</f>
        <v>91184</v>
      </c>
      <c r="N315" s="215">
        <f>'[1]Summary for IPSIS'!$V$238</f>
        <v>0</v>
      </c>
      <c r="O315" s="82">
        <f t="shared" si="321"/>
        <v>91184</v>
      </c>
      <c r="P315" s="234">
        <f>'[1]Summary for IPSIS'!$AF$238+'[1]Summary for IPSIS'!$AG$238</f>
        <v>91184</v>
      </c>
      <c r="Q315" s="82">
        <f>'[1]Summary for IPSIS'!$AH$238</f>
        <v>0</v>
      </c>
      <c r="R315" s="82">
        <f t="shared" si="322"/>
        <v>91184</v>
      </c>
      <c r="S315" s="234">
        <f>'[1]Summary for IPSIS'!$AR$238+'[1]Summary for IPSIS'!$AS$238</f>
        <v>91184</v>
      </c>
      <c r="T315" s="82">
        <f>'[1]Summary for IPSIS'!$AT$238</f>
        <v>0</v>
      </c>
      <c r="U315" s="82">
        <f t="shared" si="323"/>
        <v>91184</v>
      </c>
      <c r="V315" s="234">
        <f>'[1]Summary for IPSIS'!$BD$238+'[1]Summary for IPSIS'!$BE$238</f>
        <v>91184</v>
      </c>
      <c r="W315" s="82">
        <f>'[1]Summary for IPSIS'!$BF$238</f>
        <v>0</v>
      </c>
      <c r="X315" s="82">
        <f t="shared" si="324"/>
        <v>91184</v>
      </c>
      <c r="Y315" s="82">
        <f t="shared" si="325"/>
        <v>455920</v>
      </c>
      <c r="Z315" s="82">
        <f t="shared" si="326"/>
        <v>0</v>
      </c>
      <c r="AA315" s="82">
        <f t="shared" si="327"/>
        <v>455920</v>
      </c>
      <c r="AB315" s="234">
        <f>91184+91184+91184</f>
        <v>273552</v>
      </c>
      <c r="AC315" s="82">
        <f>0</f>
        <v>0</v>
      </c>
      <c r="AD315" s="82">
        <f t="shared" si="328"/>
        <v>273552</v>
      </c>
      <c r="AE315" s="234">
        <f>0</f>
        <v>0</v>
      </c>
      <c r="AF315" s="82">
        <f>0</f>
        <v>0</v>
      </c>
      <c r="AG315" s="82"/>
      <c r="AH315" s="82">
        <f t="shared" si="329"/>
        <v>0</v>
      </c>
      <c r="AI315" s="234">
        <f>91184+91184</f>
        <v>182368</v>
      </c>
      <c r="AJ315" s="82">
        <f>0</f>
        <v>0</v>
      </c>
      <c r="AK315" s="82">
        <f t="shared" si="330"/>
        <v>182368</v>
      </c>
      <c r="AL315" s="217">
        <f t="shared" si="319"/>
        <v>0</v>
      </c>
    </row>
    <row r="316" spans="2:38" ht="32.25" customHeight="1" thickBot="1">
      <c r="B316" s="58"/>
      <c r="C316" s="65" t="s">
        <v>175</v>
      </c>
      <c r="D316" s="66"/>
      <c r="E316" s="66"/>
      <c r="F316" s="56"/>
      <c r="G316" s="56"/>
      <c r="H316" s="56"/>
      <c r="I316" s="56"/>
      <c r="J316" s="57">
        <f>SUM(J308:J315)</f>
        <v>1940040</v>
      </c>
      <c r="K316" s="57">
        <f t="shared" ref="K316:AL316" si="331">SUM(K308:K315)</f>
        <v>0</v>
      </c>
      <c r="L316" s="57">
        <f t="shared" si="331"/>
        <v>1940040</v>
      </c>
      <c r="M316" s="57">
        <f t="shared" si="331"/>
        <v>6165600</v>
      </c>
      <c r="N316" s="57">
        <f t="shared" si="331"/>
        <v>0</v>
      </c>
      <c r="O316" s="57">
        <f t="shared" si="331"/>
        <v>6165600</v>
      </c>
      <c r="P316" s="57">
        <f t="shared" si="331"/>
        <v>4250280</v>
      </c>
      <c r="Q316" s="57">
        <f t="shared" si="331"/>
        <v>0</v>
      </c>
      <c r="R316" s="57">
        <f t="shared" si="331"/>
        <v>4250280</v>
      </c>
      <c r="S316" s="57">
        <f t="shared" si="331"/>
        <v>2943360</v>
      </c>
      <c r="T316" s="57">
        <f t="shared" si="331"/>
        <v>0</v>
      </c>
      <c r="U316" s="57">
        <f t="shared" si="331"/>
        <v>2943360</v>
      </c>
      <c r="V316" s="57">
        <f t="shared" si="331"/>
        <v>1940040</v>
      </c>
      <c r="W316" s="57">
        <f t="shared" si="331"/>
        <v>0</v>
      </c>
      <c r="X316" s="57">
        <f t="shared" si="331"/>
        <v>1940040</v>
      </c>
      <c r="Y316" s="57">
        <f t="shared" si="331"/>
        <v>17239320</v>
      </c>
      <c r="Z316" s="57">
        <f t="shared" si="331"/>
        <v>0</v>
      </c>
      <c r="AA316" s="57">
        <f t="shared" si="331"/>
        <v>17239320</v>
      </c>
      <c r="AB316" s="57">
        <f t="shared" si="331"/>
        <v>9401920</v>
      </c>
      <c r="AC316" s="57">
        <f t="shared" si="331"/>
        <v>0</v>
      </c>
      <c r="AD316" s="57">
        <f t="shared" si="331"/>
        <v>9401920</v>
      </c>
      <c r="AE316" s="57">
        <f t="shared" si="331"/>
        <v>0</v>
      </c>
      <c r="AF316" s="57">
        <f t="shared" si="331"/>
        <v>0</v>
      </c>
      <c r="AG316" s="57"/>
      <c r="AH316" s="57">
        <f t="shared" si="331"/>
        <v>0</v>
      </c>
      <c r="AI316" s="57">
        <f t="shared" si="331"/>
        <v>4209400</v>
      </c>
      <c r="AJ316" s="57">
        <f t="shared" si="331"/>
        <v>0</v>
      </c>
      <c r="AK316" s="57">
        <f t="shared" si="331"/>
        <v>4209400</v>
      </c>
      <c r="AL316" s="218">
        <f t="shared" si="331"/>
        <v>-3628000</v>
      </c>
    </row>
    <row r="317" spans="2:38" ht="45" customHeight="1">
      <c r="B317" s="161">
        <v>8.3000000000000007</v>
      </c>
      <c r="C317" s="283" t="s">
        <v>155</v>
      </c>
      <c r="D317" s="284"/>
      <c r="E317" s="208"/>
      <c r="F317" s="75"/>
      <c r="G317" s="75"/>
      <c r="H317" s="81"/>
      <c r="I317" s="81"/>
      <c r="J317" s="80"/>
      <c r="K317" s="80"/>
      <c r="L317" s="78"/>
      <c r="M317" s="80"/>
      <c r="N317" s="80"/>
      <c r="O317" s="78"/>
      <c r="P317" s="80"/>
      <c r="Q317" s="78"/>
      <c r="R317" s="78"/>
      <c r="S317" s="80"/>
      <c r="T317" s="78"/>
      <c r="U317" s="78"/>
      <c r="V317" s="80"/>
      <c r="W317" s="78"/>
      <c r="X317" s="78"/>
      <c r="Y317" s="78"/>
      <c r="Z317" s="78"/>
      <c r="AA317" s="78"/>
      <c r="AB317" s="80"/>
      <c r="AC317" s="78"/>
      <c r="AD317" s="78"/>
      <c r="AE317" s="80"/>
      <c r="AF317" s="78"/>
      <c r="AG317" s="78"/>
      <c r="AH317" s="78"/>
      <c r="AI317" s="80"/>
      <c r="AJ317" s="78"/>
      <c r="AK317" s="78"/>
      <c r="AL317" s="79"/>
    </row>
    <row r="318" spans="2:38" ht="18" customHeight="1">
      <c r="B318" s="162"/>
      <c r="C318" s="113" t="s">
        <v>141</v>
      </c>
      <c r="D318" s="60"/>
      <c r="E318" s="60"/>
      <c r="F318" s="18"/>
      <c r="G318" s="18"/>
      <c r="H318" s="15"/>
      <c r="I318" s="15"/>
      <c r="J318" s="34"/>
      <c r="K318" s="34"/>
      <c r="L318" s="39"/>
      <c r="M318" s="34"/>
      <c r="N318" s="34"/>
      <c r="O318" s="39"/>
      <c r="P318" s="34"/>
      <c r="Q318" s="39"/>
      <c r="R318" s="39"/>
      <c r="S318" s="34"/>
      <c r="T318" s="39"/>
      <c r="U318" s="39"/>
      <c r="V318" s="34"/>
      <c r="W318" s="39"/>
      <c r="X318" s="39"/>
      <c r="Y318" s="39"/>
      <c r="Z318" s="39"/>
      <c r="AA318" s="39"/>
      <c r="AB318" s="34"/>
      <c r="AC318" s="39"/>
      <c r="AD318" s="39"/>
      <c r="AE318" s="34"/>
      <c r="AF318" s="39"/>
      <c r="AG318" s="39"/>
      <c r="AH318" s="39"/>
      <c r="AI318" s="34"/>
      <c r="AJ318" s="39"/>
      <c r="AK318" s="39"/>
      <c r="AL318" s="40"/>
    </row>
    <row r="319" spans="2:38" ht="32.25" customHeight="1">
      <c r="B319" s="48" t="s">
        <v>156</v>
      </c>
      <c r="C319" s="13" t="s">
        <v>167</v>
      </c>
      <c r="D319" s="14"/>
      <c r="E319" s="187" t="s">
        <v>720</v>
      </c>
      <c r="F319" s="16" t="s">
        <v>168</v>
      </c>
      <c r="G319" s="17" t="s">
        <v>169</v>
      </c>
      <c r="H319" s="114">
        <v>2022</v>
      </c>
      <c r="I319" s="114">
        <v>2022</v>
      </c>
      <c r="J319" s="31">
        <f>'[1]Summary for IPSIS'!$H$240+'[1]Summary for IPSIS'!$I$240</f>
        <v>0</v>
      </c>
      <c r="K319" s="31">
        <f>'[1]Summary for IPSIS'!$J$240</f>
        <v>0</v>
      </c>
      <c r="L319" s="39">
        <f>SUM(J319:K319)</f>
        <v>0</v>
      </c>
      <c r="M319" s="31">
        <f>'[1]Summary for IPSIS'!$T$240+'[1]Summary for IPSIS'!$U$240</f>
        <v>2240320</v>
      </c>
      <c r="N319" s="31">
        <f>'[1]Summary for IPSIS'!$V$240</f>
        <v>0</v>
      </c>
      <c r="O319" s="39">
        <f>SUM(M319:N319)</f>
        <v>2240320</v>
      </c>
      <c r="P319" s="34">
        <f>'[1]Summary for IPSIS'!$AF$240+'[1]Summary for IPSIS'!$AG$240</f>
        <v>0</v>
      </c>
      <c r="Q319" s="39">
        <f>+'[1]Summary for IPSIS'!$AH$240</f>
        <v>0</v>
      </c>
      <c r="R319" s="39">
        <f>SUM(P319:Q319)</f>
        <v>0</v>
      </c>
      <c r="S319" s="34">
        <f>'[1]Summary for IPSIS'!$AR$240+'[1]Summary for IPSIS'!$AS$240</f>
        <v>0</v>
      </c>
      <c r="T319" s="39">
        <f>'[1]Summary for IPSIS'!$AT$240</f>
        <v>0</v>
      </c>
      <c r="U319" s="39">
        <f>SUM(S319:T319)</f>
        <v>0</v>
      </c>
      <c r="V319" s="34">
        <f>'[1]Summary for IPSIS'!$BD$240+'[1]Summary for IPSIS'!$BE$240</f>
        <v>0</v>
      </c>
      <c r="W319" s="39">
        <f>'[1]Summary for IPSIS'!$BF$240</f>
        <v>0</v>
      </c>
      <c r="X319" s="39">
        <f>SUM(V319:W319)</f>
        <v>0</v>
      </c>
      <c r="Y319" s="39">
        <f>J319+M319+P319+S319+V319</f>
        <v>2240320</v>
      </c>
      <c r="Z319" s="39">
        <f>K319+N319+Q319+T319+W319</f>
        <v>0</v>
      </c>
      <c r="AA319" s="39">
        <f>SUM(Y319:Z319)</f>
        <v>2240320</v>
      </c>
      <c r="AB319" s="34">
        <f>2240320</f>
        <v>2240320</v>
      </c>
      <c r="AC319" s="39">
        <f>0</f>
        <v>0</v>
      </c>
      <c r="AD319" s="39">
        <f>SUM(AB319:AC319)</f>
        <v>2240320</v>
      </c>
      <c r="AE319" s="34">
        <f>0</f>
        <v>0</v>
      </c>
      <c r="AF319" s="39">
        <f>0</f>
        <v>0</v>
      </c>
      <c r="AG319" s="39"/>
      <c r="AH319" s="39">
        <f>SUM(AE319:AF319)</f>
        <v>0</v>
      </c>
      <c r="AI319" s="34">
        <f>0</f>
        <v>0</v>
      </c>
      <c r="AJ319" s="39">
        <f>0</f>
        <v>0</v>
      </c>
      <c r="AK319" s="39">
        <f>SUM(AI319:AJ319)</f>
        <v>0</v>
      </c>
      <c r="AL319" s="210">
        <f t="shared" ref="AL319:AL320" si="332">SUM(AK319+AH319+AD319)-AA319</f>
        <v>0</v>
      </c>
    </row>
    <row r="320" spans="2:38" ht="32.25" customHeight="1" thickBot="1">
      <c r="B320" s="233" t="s">
        <v>157</v>
      </c>
      <c r="C320" s="243" t="s">
        <v>401</v>
      </c>
      <c r="D320" s="20"/>
      <c r="E320" s="220" t="s">
        <v>429</v>
      </c>
      <c r="F320" s="21" t="s">
        <v>168</v>
      </c>
      <c r="G320" s="22"/>
      <c r="H320" s="9">
        <v>2023</v>
      </c>
      <c r="I320" s="9">
        <v>2023</v>
      </c>
      <c r="J320" s="215">
        <f>'[1]Summary for IPSIS'!$H$241+'[1]Summary for IPSIS'!$I$240</f>
        <v>0</v>
      </c>
      <c r="K320" s="215">
        <f>'[1]Summary for IPSIS'!$J$241</f>
        <v>0</v>
      </c>
      <c r="L320" s="82">
        <f>SUM(J320:K320)</f>
        <v>0</v>
      </c>
      <c r="M320" s="215">
        <f>'[1]Summary for IPSIS'!$T$241+'[1]Summary for IPSIS'!$U$241</f>
        <v>883200</v>
      </c>
      <c r="N320" s="215">
        <f>'[1]Summary for IPSIS'!$V$242</f>
        <v>0</v>
      </c>
      <c r="O320" s="82">
        <f>SUM(M320:N320)</f>
        <v>883200</v>
      </c>
      <c r="P320" s="234">
        <f>'[1]Summary for IPSIS'!$AF$241+'[1]Summary for IPSIS'!$AG$241</f>
        <v>0</v>
      </c>
      <c r="Q320" s="82">
        <f>+'[1]Summary for IPSIS'!$AH$241</f>
        <v>0</v>
      </c>
      <c r="R320" s="82">
        <f>SUM(P320:Q320)</f>
        <v>0</v>
      </c>
      <c r="S320" s="234">
        <f>'[1]Summary for IPSIS'!$AR$241+'[1]Summary for IPSIS'!$AS$241</f>
        <v>0</v>
      </c>
      <c r="T320" s="82">
        <f>'[1]Summary for IPSIS'!$AT$241</f>
        <v>0</v>
      </c>
      <c r="U320" s="82">
        <f>SUM(S320:T320)</f>
        <v>0</v>
      </c>
      <c r="V320" s="234">
        <f>'[1]Summary for IPSIS'!$BD$241+'[1]Summary for IPSIS'!$BE$241</f>
        <v>0</v>
      </c>
      <c r="W320" s="82">
        <f>'[1]Summary for IPSIS'!$BF$241</f>
        <v>0</v>
      </c>
      <c r="X320" s="82">
        <f>SUM(V320:W320)</f>
        <v>0</v>
      </c>
      <c r="Y320" s="82">
        <f>J320+M320+P320+S320+V320</f>
        <v>883200</v>
      </c>
      <c r="Z320" s="82">
        <f>K320+N320+Q320+T320+W320</f>
        <v>0</v>
      </c>
      <c r="AA320" s="82">
        <f>SUM(Y320:Z320)</f>
        <v>883200</v>
      </c>
      <c r="AB320" s="234">
        <v>0</v>
      </c>
      <c r="AC320" s="82">
        <f>0</f>
        <v>0</v>
      </c>
      <c r="AD320" s="82">
        <f>SUM(AB320:AC320)</f>
        <v>0</v>
      </c>
      <c r="AE320" s="234">
        <f>0</f>
        <v>0</v>
      </c>
      <c r="AF320" s="82">
        <f>0</f>
        <v>0</v>
      </c>
      <c r="AG320" s="82"/>
      <c r="AH320" s="82">
        <f>SUM(AE320:AF320)</f>
        <v>0</v>
      </c>
      <c r="AI320" s="234">
        <f>0</f>
        <v>0</v>
      </c>
      <c r="AJ320" s="82">
        <f>0</f>
        <v>0</v>
      </c>
      <c r="AK320" s="82">
        <f>SUM(AI320:AJ320)</f>
        <v>0</v>
      </c>
      <c r="AL320" s="217">
        <f t="shared" si="332"/>
        <v>-883200</v>
      </c>
    </row>
    <row r="321" spans="2:39" ht="32.25" customHeight="1" thickBot="1">
      <c r="B321" s="58"/>
      <c r="C321" s="65" t="s">
        <v>176</v>
      </c>
      <c r="D321" s="66"/>
      <c r="E321" s="66"/>
      <c r="F321" s="56"/>
      <c r="G321" s="56"/>
      <c r="H321" s="56"/>
      <c r="I321" s="56"/>
      <c r="J321" s="57">
        <f>SUM(J319:J320)</f>
        <v>0</v>
      </c>
      <c r="K321" s="57">
        <f t="shared" ref="K321:O321" si="333">SUM(K319:K320)</f>
        <v>0</v>
      </c>
      <c r="L321" s="57">
        <f t="shared" si="333"/>
        <v>0</v>
      </c>
      <c r="M321" s="57">
        <f t="shared" si="333"/>
        <v>3123520</v>
      </c>
      <c r="N321" s="57">
        <f t="shared" si="333"/>
        <v>0</v>
      </c>
      <c r="O321" s="57">
        <f t="shared" si="333"/>
        <v>3123520</v>
      </c>
      <c r="P321" s="57">
        <f t="shared" ref="P321" si="334">SUM(P319:P320)</f>
        <v>0</v>
      </c>
      <c r="Q321" s="57">
        <f t="shared" ref="Q321" si="335">SUM(Q319:Q320)</f>
        <v>0</v>
      </c>
      <c r="R321" s="57">
        <f t="shared" ref="R321" si="336">SUM(R319:R320)</f>
        <v>0</v>
      </c>
      <c r="S321" s="57">
        <f t="shared" ref="S321" si="337">SUM(S319:S320)</f>
        <v>0</v>
      </c>
      <c r="T321" s="57">
        <f t="shared" ref="T321" si="338">SUM(T319:T320)</f>
        <v>0</v>
      </c>
      <c r="U321" s="57">
        <f t="shared" ref="U321" si="339">SUM(U319:U320)</f>
        <v>0</v>
      </c>
      <c r="V321" s="57">
        <f t="shared" ref="V321" si="340">SUM(V319:V320)</f>
        <v>0</v>
      </c>
      <c r="W321" s="57">
        <f t="shared" ref="W321" si="341">SUM(W319:W320)</f>
        <v>0</v>
      </c>
      <c r="X321" s="57">
        <f t="shared" ref="X321" si="342">SUM(X319:X320)</f>
        <v>0</v>
      </c>
      <c r="Y321" s="57">
        <f t="shared" ref="Y321" si="343">SUM(Y319:Y320)</f>
        <v>3123520</v>
      </c>
      <c r="Z321" s="57">
        <f t="shared" ref="Z321" si="344">SUM(Z319:Z320)</f>
        <v>0</v>
      </c>
      <c r="AA321" s="57">
        <f t="shared" ref="AA321" si="345">SUM(AA319:AA320)</f>
        <v>3123520</v>
      </c>
      <c r="AB321" s="57">
        <f t="shared" ref="AB321" si="346">SUM(AB319:AB320)</f>
        <v>2240320</v>
      </c>
      <c r="AC321" s="57">
        <f t="shared" ref="AC321" si="347">SUM(AC319:AC320)</f>
        <v>0</v>
      </c>
      <c r="AD321" s="57">
        <f t="shared" ref="AD321" si="348">SUM(AD319:AD320)</f>
        <v>2240320</v>
      </c>
      <c r="AE321" s="57">
        <f t="shared" ref="AE321" si="349">SUM(AE319:AE320)</f>
        <v>0</v>
      </c>
      <c r="AF321" s="57">
        <f t="shared" ref="AF321" si="350">SUM(AF319:AF320)</f>
        <v>0</v>
      </c>
      <c r="AG321" s="57"/>
      <c r="AH321" s="57">
        <f t="shared" ref="AH321" si="351">SUM(AH319:AH320)</f>
        <v>0</v>
      </c>
      <c r="AI321" s="57">
        <f t="shared" ref="AI321" si="352">SUM(AI319:AI320)</f>
        <v>0</v>
      </c>
      <c r="AJ321" s="57">
        <f t="shared" ref="AJ321" si="353">SUM(AJ319:AJ320)</f>
        <v>0</v>
      </c>
      <c r="AK321" s="57">
        <f t="shared" ref="AK321" si="354">SUM(AK319:AK320)</f>
        <v>0</v>
      </c>
      <c r="AL321" s="218">
        <f t="shared" ref="AL321" si="355">SUM(AL319:AL320)</f>
        <v>-883200</v>
      </c>
    </row>
    <row r="322" spans="2:39" ht="59.4" customHeight="1">
      <c r="B322" s="161">
        <v>8.4</v>
      </c>
      <c r="C322" s="283" t="s">
        <v>158</v>
      </c>
      <c r="D322" s="284"/>
      <c r="E322" s="208"/>
      <c r="F322" s="75"/>
      <c r="G322" s="75"/>
      <c r="H322" s="81"/>
      <c r="I322" s="81"/>
      <c r="J322" s="80"/>
      <c r="K322" s="80"/>
      <c r="L322" s="78"/>
      <c r="M322" s="80"/>
      <c r="N322" s="80"/>
      <c r="O322" s="78"/>
      <c r="P322" s="80"/>
      <c r="Q322" s="78"/>
      <c r="R322" s="78"/>
      <c r="S322" s="80"/>
      <c r="T322" s="78"/>
      <c r="U322" s="78"/>
      <c r="V322" s="80"/>
      <c r="W322" s="78"/>
      <c r="X322" s="78"/>
      <c r="Y322" s="78"/>
      <c r="Z322" s="78"/>
      <c r="AA322" s="78"/>
      <c r="AB322" s="80"/>
      <c r="AC322" s="78"/>
      <c r="AD322" s="78"/>
      <c r="AE322" s="80"/>
      <c r="AF322" s="78"/>
      <c r="AG322" s="78"/>
      <c r="AH322" s="78"/>
      <c r="AI322" s="80"/>
      <c r="AJ322" s="78"/>
      <c r="AK322" s="78"/>
      <c r="AL322" s="79"/>
    </row>
    <row r="323" spans="2:39" ht="24.6" customHeight="1">
      <c r="B323" s="162"/>
      <c r="C323" s="113" t="s">
        <v>141</v>
      </c>
      <c r="D323" s="60"/>
      <c r="E323" s="60"/>
      <c r="F323" s="18"/>
      <c r="G323" s="18"/>
      <c r="H323" s="15"/>
      <c r="I323" s="15"/>
      <c r="J323" s="34"/>
      <c r="K323" s="34"/>
      <c r="L323" s="39"/>
      <c r="M323" s="34"/>
      <c r="N323" s="34"/>
      <c r="O323" s="39"/>
      <c r="P323" s="34"/>
      <c r="Q323" s="39"/>
      <c r="R323" s="39"/>
      <c r="S323" s="34"/>
      <c r="T323" s="39"/>
      <c r="U323" s="39"/>
      <c r="V323" s="34"/>
      <c r="W323" s="39"/>
      <c r="X323" s="39"/>
      <c r="Y323" s="39"/>
      <c r="Z323" s="39"/>
      <c r="AA323" s="39"/>
      <c r="AB323" s="34"/>
      <c r="AC323" s="39"/>
      <c r="AD323" s="39"/>
      <c r="AE323" s="34"/>
      <c r="AF323" s="39"/>
      <c r="AG323" s="39"/>
      <c r="AH323" s="39"/>
      <c r="AI323" s="34"/>
      <c r="AJ323" s="39"/>
      <c r="AK323" s="39"/>
      <c r="AL323" s="40"/>
    </row>
    <row r="324" spans="2:39" ht="51" customHeight="1">
      <c r="B324" s="48" t="s">
        <v>159</v>
      </c>
      <c r="C324" s="13" t="s">
        <v>163</v>
      </c>
      <c r="D324" s="14"/>
      <c r="E324" s="189" t="s">
        <v>429</v>
      </c>
      <c r="F324" s="16" t="s">
        <v>168</v>
      </c>
      <c r="G324" s="17"/>
      <c r="H324" s="114">
        <v>2022</v>
      </c>
      <c r="I324" s="114">
        <v>2025</v>
      </c>
      <c r="J324" s="31">
        <f>'[1]Summary for IPSIS'!$H$243+'[1]Summary for IPSIS'!$I$243</f>
        <v>0</v>
      </c>
      <c r="K324" s="31">
        <f>'[1]Summary for IPSIS'!$J$243</f>
        <v>0</v>
      </c>
      <c r="L324" s="39">
        <f>SUM(J324:K324)</f>
        <v>0</v>
      </c>
      <c r="M324" s="31">
        <f>'[1]Summary for IPSIS'!$T$243+'[1]Summary for IPSIS'!$U$243</f>
        <v>4752000</v>
      </c>
      <c r="N324" s="31">
        <f>'[1]Summary for IPSIS'!$V$243</f>
        <v>0</v>
      </c>
      <c r="O324" s="39">
        <f>SUM(M324:N324)</f>
        <v>4752000</v>
      </c>
      <c r="P324" s="34">
        <f>'[1]Summary for IPSIS'!$AF$243+'[1]Summary for IPSIS'!$AG$243</f>
        <v>0</v>
      </c>
      <c r="Q324" s="39">
        <f>'[1]Summary for IPSIS'!$AH$243</f>
        <v>0</v>
      </c>
      <c r="R324" s="39">
        <f>SUM(P324:Q324)</f>
        <v>0</v>
      </c>
      <c r="S324" s="34">
        <f>'[1]Summary for IPSIS'!$AR$243+'[1]Summary for IPSIS'!$AS$243</f>
        <v>0</v>
      </c>
      <c r="T324" s="39">
        <f>'[1]Summary for IPSIS'!$AT$243</f>
        <v>0</v>
      </c>
      <c r="U324" s="39">
        <f>SUM(S324:T324)</f>
        <v>0</v>
      </c>
      <c r="V324" s="34">
        <f>'[1]Summary for IPSIS'!$BD$243+'[1]Summary for IPSIS'!$BE$243</f>
        <v>4752000</v>
      </c>
      <c r="W324" s="39">
        <f>'[1]Summary for IPSIS'!$BF$243</f>
        <v>0</v>
      </c>
      <c r="X324" s="39">
        <f>SUM(V324:W324)</f>
        <v>4752000</v>
      </c>
      <c r="Y324" s="39">
        <f>J324+M324+P324+S324+V324</f>
        <v>9504000</v>
      </c>
      <c r="Z324" s="39">
        <f>K324+N324+Q324+T324+W324</f>
        <v>0</v>
      </c>
      <c r="AA324" s="39">
        <f>SUM(Y324:Z324)</f>
        <v>9504000</v>
      </c>
      <c r="AB324" s="34">
        <f>4752000</f>
        <v>4752000</v>
      </c>
      <c r="AC324" s="39">
        <f>0</f>
        <v>0</v>
      </c>
      <c r="AD324" s="39">
        <f>SUM(AB324:AC324)</f>
        <v>4752000</v>
      </c>
      <c r="AE324" s="34">
        <f>0</f>
        <v>0</v>
      </c>
      <c r="AF324" s="39">
        <f>0</f>
        <v>0</v>
      </c>
      <c r="AG324" s="39"/>
      <c r="AH324" s="39">
        <f>SUM(AE324:AF324)</f>
        <v>0</v>
      </c>
      <c r="AI324" s="34">
        <f>0</f>
        <v>0</v>
      </c>
      <c r="AJ324" s="39">
        <f>0</f>
        <v>0</v>
      </c>
      <c r="AK324" s="39">
        <f>SUM(AI324:AJ324)</f>
        <v>0</v>
      </c>
      <c r="AL324" s="210">
        <f t="shared" ref="AL324:AL326" si="356">SUM(AK324+AH324+AD324)-AA324</f>
        <v>-4752000</v>
      </c>
    </row>
    <row r="325" spans="2:39" ht="47.4" customHeight="1">
      <c r="B325" s="48" t="s">
        <v>160</v>
      </c>
      <c r="C325" s="13" t="s">
        <v>164</v>
      </c>
      <c r="D325" s="14"/>
      <c r="E325" s="189" t="s">
        <v>429</v>
      </c>
      <c r="F325" s="16" t="s">
        <v>168</v>
      </c>
      <c r="G325" s="17"/>
      <c r="H325" s="114">
        <v>2021</v>
      </c>
      <c r="I325" s="114">
        <v>2025</v>
      </c>
      <c r="J325" s="31">
        <f>'[1]Summary for IPSIS'!$H$244+'[1]Summary for IPSIS'!$I$244</f>
        <v>998400</v>
      </c>
      <c r="K325" s="31">
        <f>'[1]Summary for IPSIS'!$J$244</f>
        <v>0</v>
      </c>
      <c r="L325" s="39">
        <f t="shared" ref="L325:L326" si="357">SUM(J325:K325)</f>
        <v>998400</v>
      </c>
      <c r="M325" s="31">
        <f>'[1]Summary for IPSIS'!$T$244+'[1]Summary for IPSIS'!$U$244</f>
        <v>998400</v>
      </c>
      <c r="N325" s="31">
        <f>'[1]Summary for IPSIS'!$V$244</f>
        <v>0</v>
      </c>
      <c r="O325" s="39">
        <f t="shared" ref="O325:O326" si="358">SUM(M325:N325)</f>
        <v>998400</v>
      </c>
      <c r="P325" s="34">
        <f>'[1]Summary for IPSIS'!$AF$244+'[1]Summary for IPSIS'!$AG$244</f>
        <v>998400</v>
      </c>
      <c r="Q325" s="39">
        <f>'[1]Summary for IPSIS'!$AH$244</f>
        <v>0</v>
      </c>
      <c r="R325" s="39">
        <f t="shared" ref="R325:R326" si="359">SUM(P325:Q325)</f>
        <v>998400</v>
      </c>
      <c r="S325" s="34">
        <f>'[1]Summary for IPSIS'!$AR$244+'[1]Summary for IPSIS'!$AS$244</f>
        <v>998400</v>
      </c>
      <c r="T325" s="39">
        <f>'[1]Summary for IPSIS'!$AT$244</f>
        <v>0</v>
      </c>
      <c r="U325" s="39">
        <f t="shared" ref="U325:U326" si="360">SUM(S325:T325)</f>
        <v>998400</v>
      </c>
      <c r="V325" s="34">
        <f>'[1]Summary for IPSIS'!$BD$244+'[1]Summary for IPSIS'!$BE$244</f>
        <v>998400</v>
      </c>
      <c r="W325" s="39">
        <f>'[1]Summary for IPSIS'!$BF$244</f>
        <v>0</v>
      </c>
      <c r="X325" s="39">
        <f t="shared" ref="X325:X326" si="361">SUM(V325:W325)</f>
        <v>998400</v>
      </c>
      <c r="Y325" s="39">
        <f t="shared" ref="Y325:Y326" si="362">J325+M325+P325+S325+V325</f>
        <v>4992000</v>
      </c>
      <c r="Z325" s="39">
        <f t="shared" ref="Z325:Z326" si="363">K325+N325+Q325+T325+W325</f>
        <v>0</v>
      </c>
      <c r="AA325" s="39">
        <f t="shared" ref="AA325:AA326" si="364">SUM(Y325:Z325)</f>
        <v>4992000</v>
      </c>
      <c r="AB325" s="34">
        <f>0</f>
        <v>0</v>
      </c>
      <c r="AC325" s="39">
        <f>0</f>
        <v>0</v>
      </c>
      <c r="AD325" s="39">
        <f t="shared" ref="AD325:AD326" si="365">SUM(AB325:AC325)</f>
        <v>0</v>
      </c>
      <c r="AE325" s="34">
        <f>0</f>
        <v>0</v>
      </c>
      <c r="AF325" s="39">
        <f>0</f>
        <v>0</v>
      </c>
      <c r="AG325" s="39"/>
      <c r="AH325" s="39">
        <f t="shared" ref="AH325:AH326" si="366">SUM(AE325:AF325)</f>
        <v>0</v>
      </c>
      <c r="AI325" s="34">
        <f>0</f>
        <v>0</v>
      </c>
      <c r="AJ325" s="39">
        <f>0</f>
        <v>0</v>
      </c>
      <c r="AK325" s="39">
        <f t="shared" ref="AK325:AK326" si="367">SUM(AI325:AJ325)</f>
        <v>0</v>
      </c>
      <c r="AL325" s="210">
        <f t="shared" si="356"/>
        <v>-4992000</v>
      </c>
    </row>
    <row r="326" spans="2:39" ht="47.4" customHeight="1" thickBot="1">
      <c r="B326" s="233" t="s">
        <v>161</v>
      </c>
      <c r="C326" s="243" t="s">
        <v>165</v>
      </c>
      <c r="D326" s="20"/>
      <c r="E326" s="220" t="s">
        <v>429</v>
      </c>
      <c r="F326" s="21" t="s">
        <v>168</v>
      </c>
      <c r="G326" s="22"/>
      <c r="H326" s="9">
        <v>2021</v>
      </c>
      <c r="I326" s="9">
        <v>2025</v>
      </c>
      <c r="J326" s="215">
        <f>'[1]Summary for IPSIS'!$H$245+'[1]Summary for IPSIS'!$I$245</f>
        <v>1008000</v>
      </c>
      <c r="K326" s="215">
        <f>'[1]Summary for IPSIS'!$J$245</f>
        <v>0</v>
      </c>
      <c r="L326" s="82">
        <f t="shared" si="357"/>
        <v>1008000</v>
      </c>
      <c r="M326" s="215">
        <f>'[1]Summary for IPSIS'!$T$245+'[1]Summary for IPSIS'!$U$245</f>
        <v>1008000</v>
      </c>
      <c r="N326" s="215">
        <f>'[1]Summary for IPSIS'!$V$245</f>
        <v>0</v>
      </c>
      <c r="O326" s="82">
        <f t="shared" si="358"/>
        <v>1008000</v>
      </c>
      <c r="P326" s="234">
        <f>'[1]Summary for IPSIS'!$AF$245+'[1]Summary for IPSIS'!$AG$245</f>
        <v>1008000</v>
      </c>
      <c r="Q326" s="82">
        <f>'[1]Summary for IPSIS'!$AH$245</f>
        <v>0</v>
      </c>
      <c r="R326" s="82">
        <f t="shared" si="359"/>
        <v>1008000</v>
      </c>
      <c r="S326" s="234">
        <f>'[1]Summary for IPSIS'!$AR$245+'[1]Summary for IPSIS'!$AS$245</f>
        <v>1008000</v>
      </c>
      <c r="T326" s="82">
        <f>'[1]Summary for IPSIS'!$AT$245</f>
        <v>0</v>
      </c>
      <c r="U326" s="82">
        <f t="shared" si="360"/>
        <v>1008000</v>
      </c>
      <c r="V326" s="234">
        <f>'[1]Summary for IPSIS'!$BD$245+'[1]Summary for IPSIS'!$BE$245</f>
        <v>1008000</v>
      </c>
      <c r="W326" s="82">
        <f>'[1]Summary for IPSIS'!$BF$245</f>
        <v>0</v>
      </c>
      <c r="X326" s="82">
        <f t="shared" si="361"/>
        <v>1008000</v>
      </c>
      <c r="Y326" s="82">
        <f t="shared" si="362"/>
        <v>5040000</v>
      </c>
      <c r="Z326" s="82">
        <f t="shared" si="363"/>
        <v>0</v>
      </c>
      <c r="AA326" s="82">
        <f t="shared" si="364"/>
        <v>5040000</v>
      </c>
      <c r="AB326" s="234">
        <f>1008000+1008000+1008000</f>
        <v>3024000</v>
      </c>
      <c r="AC326" s="82">
        <f>0</f>
        <v>0</v>
      </c>
      <c r="AD326" s="82">
        <f t="shared" si="365"/>
        <v>3024000</v>
      </c>
      <c r="AE326" s="234">
        <f>0</f>
        <v>0</v>
      </c>
      <c r="AF326" s="82">
        <f>0</f>
        <v>0</v>
      </c>
      <c r="AG326" s="82"/>
      <c r="AH326" s="82">
        <f t="shared" si="366"/>
        <v>0</v>
      </c>
      <c r="AI326" s="234">
        <f>1008000+1008000</f>
        <v>2016000</v>
      </c>
      <c r="AJ326" s="82">
        <f>0</f>
        <v>0</v>
      </c>
      <c r="AK326" s="82">
        <f t="shared" si="367"/>
        <v>2016000</v>
      </c>
      <c r="AL326" s="217">
        <f t="shared" si="356"/>
        <v>0</v>
      </c>
    </row>
    <row r="327" spans="2:39" ht="32.25" customHeight="1" thickBot="1">
      <c r="B327" s="58"/>
      <c r="C327" s="65" t="s">
        <v>166</v>
      </c>
      <c r="D327" s="66"/>
      <c r="E327" s="66"/>
      <c r="F327" s="56"/>
      <c r="G327" s="56"/>
      <c r="H327" s="56"/>
      <c r="I327" s="56"/>
      <c r="J327" s="57">
        <f t="shared" ref="J327:AL327" si="368">SUM(J323:J326)</f>
        <v>2006400</v>
      </c>
      <c r="K327" s="57">
        <f t="shared" si="368"/>
        <v>0</v>
      </c>
      <c r="L327" s="57">
        <f t="shared" si="368"/>
        <v>2006400</v>
      </c>
      <c r="M327" s="57">
        <f t="shared" si="368"/>
        <v>6758400</v>
      </c>
      <c r="N327" s="57">
        <f t="shared" si="368"/>
        <v>0</v>
      </c>
      <c r="O327" s="57">
        <f t="shared" si="368"/>
        <v>6758400</v>
      </c>
      <c r="P327" s="57">
        <f t="shared" si="368"/>
        <v>2006400</v>
      </c>
      <c r="Q327" s="57">
        <f t="shared" si="368"/>
        <v>0</v>
      </c>
      <c r="R327" s="57">
        <f t="shared" si="368"/>
        <v>2006400</v>
      </c>
      <c r="S327" s="57">
        <f t="shared" si="368"/>
        <v>2006400</v>
      </c>
      <c r="T327" s="57">
        <f t="shared" si="368"/>
        <v>0</v>
      </c>
      <c r="U327" s="57">
        <f t="shared" si="368"/>
        <v>2006400</v>
      </c>
      <c r="V327" s="57">
        <f t="shared" si="368"/>
        <v>6758400</v>
      </c>
      <c r="W327" s="57">
        <f t="shared" si="368"/>
        <v>0</v>
      </c>
      <c r="X327" s="57">
        <f t="shared" si="368"/>
        <v>6758400</v>
      </c>
      <c r="Y327" s="57">
        <f t="shared" si="368"/>
        <v>19536000</v>
      </c>
      <c r="Z327" s="57">
        <f t="shared" si="368"/>
        <v>0</v>
      </c>
      <c r="AA327" s="57">
        <f t="shared" si="368"/>
        <v>19536000</v>
      </c>
      <c r="AB327" s="57">
        <f t="shared" si="368"/>
        <v>7776000</v>
      </c>
      <c r="AC327" s="57">
        <f t="shared" si="368"/>
        <v>0</v>
      </c>
      <c r="AD327" s="57">
        <f t="shared" si="368"/>
        <v>7776000</v>
      </c>
      <c r="AE327" s="57">
        <f t="shared" si="368"/>
        <v>0</v>
      </c>
      <c r="AF327" s="57">
        <f t="shared" si="368"/>
        <v>0</v>
      </c>
      <c r="AG327" s="57"/>
      <c r="AH327" s="57">
        <f t="shared" si="368"/>
        <v>0</v>
      </c>
      <c r="AI327" s="57">
        <f t="shared" si="368"/>
        <v>2016000</v>
      </c>
      <c r="AJ327" s="57">
        <f t="shared" si="368"/>
        <v>0</v>
      </c>
      <c r="AK327" s="57">
        <f t="shared" si="368"/>
        <v>2016000</v>
      </c>
      <c r="AL327" s="218">
        <f t="shared" si="368"/>
        <v>-9744000</v>
      </c>
    </row>
    <row r="328" spans="2:39" ht="32.25" customHeight="1" thickBot="1">
      <c r="B328" s="58"/>
      <c r="C328" s="285" t="s">
        <v>757</v>
      </c>
      <c r="D328" s="286"/>
      <c r="E328" s="185"/>
      <c r="F328" s="56"/>
      <c r="G328" s="56"/>
      <c r="H328" s="56"/>
      <c r="I328" s="56"/>
      <c r="J328" s="57">
        <f t="shared" ref="J328:AC328" si="369">J305+J316+J321+J327</f>
        <v>5265480</v>
      </c>
      <c r="K328" s="57">
        <f t="shared" si="369"/>
        <v>0</v>
      </c>
      <c r="L328" s="57">
        <f t="shared" si="369"/>
        <v>5265480</v>
      </c>
      <c r="M328" s="57">
        <f t="shared" si="369"/>
        <v>18056368</v>
      </c>
      <c r="N328" s="57">
        <f t="shared" si="369"/>
        <v>0</v>
      </c>
      <c r="O328" s="57">
        <f t="shared" si="369"/>
        <v>18056368</v>
      </c>
      <c r="P328" s="57">
        <f t="shared" si="369"/>
        <v>7335528</v>
      </c>
      <c r="Q328" s="57">
        <f t="shared" si="369"/>
        <v>0</v>
      </c>
      <c r="R328" s="57">
        <f t="shared" si="369"/>
        <v>7335528</v>
      </c>
      <c r="S328" s="57">
        <f t="shared" si="369"/>
        <v>6028608</v>
      </c>
      <c r="T328" s="57">
        <f t="shared" si="369"/>
        <v>0</v>
      </c>
      <c r="U328" s="57">
        <f t="shared" si="369"/>
        <v>6028608</v>
      </c>
      <c r="V328" s="57">
        <f t="shared" si="369"/>
        <v>9777288</v>
      </c>
      <c r="W328" s="57">
        <f t="shared" si="369"/>
        <v>0</v>
      </c>
      <c r="X328" s="57">
        <f t="shared" si="369"/>
        <v>9777288</v>
      </c>
      <c r="Y328" s="57">
        <f t="shared" si="369"/>
        <v>46463272</v>
      </c>
      <c r="Z328" s="57">
        <f t="shared" si="369"/>
        <v>0</v>
      </c>
      <c r="AA328" s="57">
        <f t="shared" si="369"/>
        <v>46463272</v>
      </c>
      <c r="AB328" s="57">
        <f t="shared" si="369"/>
        <v>21987776</v>
      </c>
      <c r="AC328" s="57">
        <f t="shared" si="369"/>
        <v>0</v>
      </c>
      <c r="AD328" s="57">
        <f t="shared" ref="AD328:AL328" si="370">AD305+AD316+AD321+AD327</f>
        <v>21987776</v>
      </c>
      <c r="AE328" s="57">
        <f t="shared" si="370"/>
        <v>0</v>
      </c>
      <c r="AF328" s="57">
        <f t="shared" si="370"/>
        <v>0</v>
      </c>
      <c r="AG328" s="57"/>
      <c r="AH328" s="57">
        <f t="shared" si="370"/>
        <v>0</v>
      </c>
      <c r="AI328" s="57">
        <f t="shared" si="370"/>
        <v>7775896</v>
      </c>
      <c r="AJ328" s="57">
        <f t="shared" si="370"/>
        <v>0</v>
      </c>
      <c r="AK328" s="57">
        <f t="shared" si="370"/>
        <v>7775896</v>
      </c>
      <c r="AL328" s="218">
        <f t="shared" si="370"/>
        <v>-16699600</v>
      </c>
      <c r="AM328" s="191"/>
    </row>
    <row r="329" spans="2:39" ht="34.200000000000003" customHeight="1" thickBot="1">
      <c r="B329" s="244"/>
      <c r="C329" s="184" t="s">
        <v>162</v>
      </c>
      <c r="D329" s="245"/>
      <c r="E329" s="245"/>
      <c r="F329" s="246"/>
      <c r="G329" s="246"/>
      <c r="H329" s="246"/>
      <c r="I329" s="246"/>
      <c r="J329" s="247">
        <f t="shared" ref="J329:AL329" si="371">J77+J115+J159+J188+J223+J255+J292+J328</f>
        <v>126816458</v>
      </c>
      <c r="K329" s="247">
        <f t="shared" si="371"/>
        <v>12857000</v>
      </c>
      <c r="L329" s="247">
        <f t="shared" si="371"/>
        <v>139673458</v>
      </c>
      <c r="M329" s="247">
        <f t="shared" si="371"/>
        <v>203342141.59999999</v>
      </c>
      <c r="N329" s="247">
        <f t="shared" si="371"/>
        <v>57925500</v>
      </c>
      <c r="O329" s="247">
        <f t="shared" si="371"/>
        <v>261267641.59999999</v>
      </c>
      <c r="P329" s="247">
        <f t="shared" si="371"/>
        <v>258969002.40000001</v>
      </c>
      <c r="Q329" s="247">
        <f t="shared" si="371"/>
        <v>61950500</v>
      </c>
      <c r="R329" s="247">
        <f t="shared" si="371"/>
        <v>320919502.39999998</v>
      </c>
      <c r="S329" s="247">
        <f t="shared" si="371"/>
        <v>180092271.59999999</v>
      </c>
      <c r="T329" s="247">
        <f t="shared" si="371"/>
        <v>83708500</v>
      </c>
      <c r="U329" s="247">
        <f t="shared" si="371"/>
        <v>263800771.59999999</v>
      </c>
      <c r="V329" s="247">
        <f t="shared" si="371"/>
        <v>277032938.39999998</v>
      </c>
      <c r="W329" s="247">
        <f t="shared" si="371"/>
        <v>205942000</v>
      </c>
      <c r="X329" s="247">
        <f t="shared" si="371"/>
        <v>482974938.39999998</v>
      </c>
      <c r="Y329" s="247">
        <f t="shared" si="371"/>
        <v>1046252812</v>
      </c>
      <c r="Z329" s="247">
        <f t="shared" si="371"/>
        <v>422383500</v>
      </c>
      <c r="AA329" s="247">
        <f t="shared" si="371"/>
        <v>1468636312</v>
      </c>
      <c r="AB329" s="247">
        <f t="shared" si="371"/>
        <v>336011622</v>
      </c>
      <c r="AC329" s="247">
        <f t="shared" si="371"/>
        <v>64825500</v>
      </c>
      <c r="AD329" s="247">
        <f t="shared" si="371"/>
        <v>400837122</v>
      </c>
      <c r="AE329" s="247">
        <f t="shared" si="371"/>
        <v>30318016</v>
      </c>
      <c r="AF329" s="247">
        <f t="shared" si="371"/>
        <v>65550000</v>
      </c>
      <c r="AG329" s="247">
        <f t="shared" si="371"/>
        <v>0</v>
      </c>
      <c r="AH329" s="247">
        <f t="shared" si="371"/>
        <v>95868016</v>
      </c>
      <c r="AI329" s="247">
        <f t="shared" si="371"/>
        <v>521920763</v>
      </c>
      <c r="AJ329" s="247">
        <f t="shared" si="371"/>
        <v>123245500</v>
      </c>
      <c r="AK329" s="247">
        <f t="shared" si="371"/>
        <v>645166263</v>
      </c>
      <c r="AL329" s="248">
        <f t="shared" si="371"/>
        <v>-326764911</v>
      </c>
    </row>
  </sheetData>
  <mergeCells count="224">
    <mergeCell ref="B3:AL3"/>
    <mergeCell ref="E296:E297"/>
    <mergeCell ref="F296:F297"/>
    <mergeCell ref="G296:G297"/>
    <mergeCell ref="H296:H297"/>
    <mergeCell ref="I296:I297"/>
    <mergeCell ref="AB296:AD296"/>
    <mergeCell ref="AE296:AH296"/>
    <mergeCell ref="AI296:AK296"/>
    <mergeCell ref="B295:B297"/>
    <mergeCell ref="C295:C297"/>
    <mergeCell ref="D295:D297"/>
    <mergeCell ref="F295:G295"/>
    <mergeCell ref="H295:I295"/>
    <mergeCell ref="J295:L296"/>
    <mergeCell ref="M295:O296"/>
    <mergeCell ref="P295:R296"/>
    <mergeCell ref="S295:U296"/>
    <mergeCell ref="AI226:AK226"/>
    <mergeCell ref="AI227:AK227"/>
    <mergeCell ref="P258:R259"/>
    <mergeCell ref="S258:U259"/>
    <mergeCell ref="V258:X259"/>
    <mergeCell ref="Y258:AA259"/>
    <mergeCell ref="AI258:AK258"/>
    <mergeCell ref="AI259:AK259"/>
    <mergeCell ref="AB259:AD259"/>
    <mergeCell ref="AE259:AH259"/>
    <mergeCell ref="AB258:AH258"/>
    <mergeCell ref="B293:AL293"/>
    <mergeCell ref="B294:AL294"/>
    <mergeCell ref="C256:AL256"/>
    <mergeCell ref="V295:X296"/>
    <mergeCell ref="Y295:AA296"/>
    <mergeCell ref="AB295:AH295"/>
    <mergeCell ref="AI295:AK295"/>
    <mergeCell ref="AL295:AL296"/>
    <mergeCell ref="J258:L259"/>
    <mergeCell ref="B258:B260"/>
    <mergeCell ref="C258:C260"/>
    <mergeCell ref="D258:D260"/>
    <mergeCell ref="F259:F260"/>
    <mergeCell ref="C292:D292"/>
    <mergeCell ref="C261:D261"/>
    <mergeCell ref="C272:D272"/>
    <mergeCell ref="C281:D281"/>
    <mergeCell ref="H259:H260"/>
    <mergeCell ref="P191:R192"/>
    <mergeCell ref="S191:U192"/>
    <mergeCell ref="V191:X192"/>
    <mergeCell ref="Y191:AA192"/>
    <mergeCell ref="AI191:AK191"/>
    <mergeCell ref="AI192:AK192"/>
    <mergeCell ref="AB162:AH162"/>
    <mergeCell ref="AB163:AD163"/>
    <mergeCell ref="P162:R163"/>
    <mergeCell ref="V80:X81"/>
    <mergeCell ref="Y80:AA81"/>
    <mergeCell ref="AI80:AK80"/>
    <mergeCell ref="E81:E82"/>
    <mergeCell ref="AI81:AK81"/>
    <mergeCell ref="P118:R119"/>
    <mergeCell ref="S118:U119"/>
    <mergeCell ref="V118:X119"/>
    <mergeCell ref="Y118:AA119"/>
    <mergeCell ref="AI118:AK118"/>
    <mergeCell ref="AI119:AK119"/>
    <mergeCell ref="J80:L81"/>
    <mergeCell ref="J118:L119"/>
    <mergeCell ref="C83:D83"/>
    <mergeCell ref="B116:AL116"/>
    <mergeCell ref="E227:E228"/>
    <mergeCell ref="J162:L163"/>
    <mergeCell ref="J191:L192"/>
    <mergeCell ref="J226:L227"/>
    <mergeCell ref="D162:D164"/>
    <mergeCell ref="F163:F164"/>
    <mergeCell ref="G163:G164"/>
    <mergeCell ref="H163:H164"/>
    <mergeCell ref="B225:AL225"/>
    <mergeCell ref="B191:B193"/>
    <mergeCell ref="C191:C193"/>
    <mergeCell ref="D191:D193"/>
    <mergeCell ref="AB227:AD227"/>
    <mergeCell ref="AE227:AH227"/>
    <mergeCell ref="AB226:AH226"/>
    <mergeCell ref="I227:I228"/>
    <mergeCell ref="AE192:AH192"/>
    <mergeCell ref="B226:B228"/>
    <mergeCell ref="P226:R227"/>
    <mergeCell ref="S226:U227"/>
    <mergeCell ref="V226:X227"/>
    <mergeCell ref="Y226:AA227"/>
    <mergeCell ref="C223:D223"/>
    <mergeCell ref="AL226:AL227"/>
    <mergeCell ref="B162:B164"/>
    <mergeCell ref="B118:B120"/>
    <mergeCell ref="B161:AL161"/>
    <mergeCell ref="M226:O227"/>
    <mergeCell ref="C194:D194"/>
    <mergeCell ref="B190:AL190"/>
    <mergeCell ref="M191:O192"/>
    <mergeCell ref="AB191:AH191"/>
    <mergeCell ref="AL191:AL192"/>
    <mergeCell ref="F192:F193"/>
    <mergeCell ref="G192:G193"/>
    <mergeCell ref="H192:H193"/>
    <mergeCell ref="I192:I193"/>
    <mergeCell ref="AB192:AD192"/>
    <mergeCell ref="D226:D228"/>
    <mergeCell ref="F191:G191"/>
    <mergeCell ref="H191:I191"/>
    <mergeCell ref="F227:F228"/>
    <mergeCell ref="G227:G228"/>
    <mergeCell ref="H227:H228"/>
    <mergeCell ref="C118:C120"/>
    <mergeCell ref="D118:D120"/>
    <mergeCell ref="E192:E193"/>
    <mergeCell ref="M162:O163"/>
    <mergeCell ref="C162:C164"/>
    <mergeCell ref="H119:H120"/>
    <mergeCell ref="H118:I118"/>
    <mergeCell ref="C115:D115"/>
    <mergeCell ref="C159:D159"/>
    <mergeCell ref="M118:O119"/>
    <mergeCell ref="E119:E120"/>
    <mergeCell ref="E163:E164"/>
    <mergeCell ref="C188:D188"/>
    <mergeCell ref="F119:F120"/>
    <mergeCell ref="G119:G120"/>
    <mergeCell ref="F162:G162"/>
    <mergeCell ref="I163:I164"/>
    <mergeCell ref="B160:AL160"/>
    <mergeCell ref="C165:D165"/>
    <mergeCell ref="C179:D179"/>
    <mergeCell ref="H162:I162"/>
    <mergeCell ref="AE163:AH163"/>
    <mergeCell ref="I119:I120"/>
    <mergeCell ref="AL118:AL119"/>
    <mergeCell ref="C121:D121"/>
    <mergeCell ref="C133:D133"/>
    <mergeCell ref="F6:F7"/>
    <mergeCell ref="G6:G7"/>
    <mergeCell ref="H6:H7"/>
    <mergeCell ref="I6:I7"/>
    <mergeCell ref="D5:D7"/>
    <mergeCell ref="C5:C7"/>
    <mergeCell ref="C80:C82"/>
    <mergeCell ref="D80:D82"/>
    <mergeCell ref="I81:I82"/>
    <mergeCell ref="B78:AL78"/>
    <mergeCell ref="E6:E7"/>
    <mergeCell ref="B79:AL79"/>
    <mergeCell ref="AB80:AH80"/>
    <mergeCell ref="F81:F82"/>
    <mergeCell ref="M5:O6"/>
    <mergeCell ref="AB5:AH5"/>
    <mergeCell ref="P5:R6"/>
    <mergeCell ref="AE6:AH6"/>
    <mergeCell ref="C43:D43"/>
    <mergeCell ref="AL5:AL6"/>
    <mergeCell ref="C8:D8"/>
    <mergeCell ref="C77:D77"/>
    <mergeCell ref="P80:R81"/>
    <mergeCell ref="S80:U81"/>
    <mergeCell ref="C147:D147"/>
    <mergeCell ref="AL162:AL163"/>
    <mergeCell ref="AE119:AH119"/>
    <mergeCell ref="F118:G118"/>
    <mergeCell ref="AB119:AD119"/>
    <mergeCell ref="AB118:AH118"/>
    <mergeCell ref="S162:U163"/>
    <mergeCell ref="V162:X163"/>
    <mergeCell ref="Y162:AA163"/>
    <mergeCell ref="AI162:AK162"/>
    <mergeCell ref="AI163:AK163"/>
    <mergeCell ref="Y5:AA6"/>
    <mergeCell ref="AI6:AK6"/>
    <mergeCell ref="AI5:AK5"/>
    <mergeCell ref="C298:D298"/>
    <mergeCell ref="C306:D306"/>
    <mergeCell ref="C317:D317"/>
    <mergeCell ref="C239:D239"/>
    <mergeCell ref="M258:O259"/>
    <mergeCell ref="F258:G258"/>
    <mergeCell ref="G259:G260"/>
    <mergeCell ref="I259:I260"/>
    <mergeCell ref="H258:I258"/>
    <mergeCell ref="C255:D255"/>
    <mergeCell ref="E259:E260"/>
    <mergeCell ref="B257:AL257"/>
    <mergeCell ref="AL258:AL259"/>
    <mergeCell ref="C202:D202"/>
    <mergeCell ref="C212:D212"/>
    <mergeCell ref="C226:C228"/>
    <mergeCell ref="F226:G226"/>
    <mergeCell ref="C229:D229"/>
    <mergeCell ref="H226:I226"/>
    <mergeCell ref="G81:G82"/>
    <mergeCell ref="H81:H82"/>
    <mergeCell ref="C322:D322"/>
    <mergeCell ref="C328:D328"/>
    <mergeCell ref="B224:AL224"/>
    <mergeCell ref="B189:AL189"/>
    <mergeCell ref="B2:AL2"/>
    <mergeCell ref="B4:AL4"/>
    <mergeCell ref="H5:I5"/>
    <mergeCell ref="AB81:AD81"/>
    <mergeCell ref="AE81:AH81"/>
    <mergeCell ref="B117:AL117"/>
    <mergeCell ref="C106:D106"/>
    <mergeCell ref="M80:O81"/>
    <mergeCell ref="AL80:AL81"/>
    <mergeCell ref="C97:D97"/>
    <mergeCell ref="H80:I80"/>
    <mergeCell ref="C23:D23"/>
    <mergeCell ref="B5:B7"/>
    <mergeCell ref="B80:B82"/>
    <mergeCell ref="F5:G5"/>
    <mergeCell ref="AB6:AD6"/>
    <mergeCell ref="F80:G80"/>
    <mergeCell ref="J5:L6"/>
    <mergeCell ref="S5:U6"/>
    <mergeCell ref="V5:X6"/>
  </mergeCells>
  <phoneticPr fontId="7" type="noConversion"/>
  <pageMargins left="0.2" right="0.2" top="0.25" bottom="0.25" header="0.3" footer="0.3"/>
  <pageSetup scale="75" orientation="landscape" r:id="rId1"/>
</worksheet>
</file>

<file path=xl/worksheets/sheet2.xml><?xml version="1.0" encoding="utf-8"?>
<worksheet xmlns="http://schemas.openxmlformats.org/spreadsheetml/2006/main" xmlns:r="http://schemas.openxmlformats.org/officeDocument/2006/relationships">
  <sheetPr>
    <tabColor rgb="FF00B0F0"/>
  </sheetPr>
  <dimension ref="B1:W95"/>
  <sheetViews>
    <sheetView topLeftCell="G4" zoomScale="50" zoomScaleNormal="50" workbookViewId="0">
      <pane ySplit="3" topLeftCell="A75" activePane="bottomLeft" state="frozen"/>
      <selection activeCell="A4" sqref="A4"/>
      <selection pane="bottomLeft" activeCell="N80" sqref="N80"/>
    </sheetView>
  </sheetViews>
  <sheetFormatPr defaultRowHeight="14.4"/>
  <cols>
    <col min="2" max="2" width="42.88671875" customWidth="1"/>
    <col min="3" max="3" width="14.33203125" customWidth="1"/>
    <col min="4" max="4" width="16.88671875" customWidth="1"/>
    <col min="5" max="6" width="14.33203125" customWidth="1"/>
    <col min="7" max="7" width="23.77734375" style="43" customWidth="1"/>
    <col min="8" max="8" width="23.109375" style="43" customWidth="1"/>
    <col min="9" max="9" width="25.88671875" style="43" customWidth="1"/>
    <col min="10" max="10" width="23.77734375" style="43" customWidth="1"/>
    <col min="11" max="14" width="26.6640625" style="43" customWidth="1"/>
    <col min="15" max="18" width="25.5546875" style="43" customWidth="1"/>
    <col min="19" max="19" width="25.109375" style="43" customWidth="1"/>
    <col min="20" max="20" width="23" style="43" customWidth="1"/>
    <col min="21" max="21" width="23.33203125" hidden="1" customWidth="1"/>
    <col min="22" max="22" width="22.6640625" style="92" customWidth="1"/>
    <col min="23" max="23" width="34.88671875" style="92" customWidth="1"/>
  </cols>
  <sheetData>
    <row r="1" spans="2:21" ht="15" thickBot="1"/>
    <row r="2" spans="2:21" ht="45" customHeight="1" thickBot="1">
      <c r="B2" s="367" t="s">
        <v>91</v>
      </c>
      <c r="C2" s="368"/>
      <c r="D2" s="368"/>
      <c r="E2" s="368"/>
      <c r="F2" s="368"/>
      <c r="G2" s="368"/>
      <c r="H2" s="368"/>
      <c r="I2" s="368"/>
      <c r="J2" s="368"/>
      <c r="K2" s="368"/>
      <c r="L2" s="368"/>
      <c r="M2" s="368"/>
      <c r="N2" s="368"/>
      <c r="O2" s="368"/>
      <c r="P2" s="368"/>
      <c r="Q2" s="368"/>
      <c r="R2" s="368"/>
      <c r="S2" s="368"/>
      <c r="T2" s="369"/>
    </row>
    <row r="3" spans="2:21" ht="16.5" customHeight="1" thickBot="1">
      <c r="B3" s="122" t="s">
        <v>402</v>
      </c>
      <c r="C3" s="373" t="s">
        <v>66</v>
      </c>
      <c r="D3" s="374"/>
      <c r="E3" s="365" t="s">
        <v>2</v>
      </c>
      <c r="F3" s="366"/>
      <c r="G3" s="123" t="s">
        <v>404</v>
      </c>
      <c r="H3" s="124"/>
      <c r="I3" s="125"/>
      <c r="J3" s="350" t="s">
        <v>97</v>
      </c>
      <c r="K3" s="351"/>
      <c r="L3" s="351"/>
      <c r="M3" s="351"/>
      <c r="N3" s="351"/>
      <c r="O3" s="351"/>
      <c r="P3" s="127"/>
      <c r="Q3" s="127"/>
      <c r="R3" s="127"/>
      <c r="S3" s="121" t="s">
        <v>96</v>
      </c>
      <c r="T3" s="44"/>
    </row>
    <row r="4" spans="2:21" ht="16.5" customHeight="1" thickBot="1">
      <c r="B4" s="130"/>
      <c r="C4" s="131"/>
      <c r="D4" s="131"/>
      <c r="E4" s="132"/>
      <c r="F4" s="132"/>
      <c r="G4" s="133"/>
      <c r="H4" s="124"/>
      <c r="I4" s="124"/>
      <c r="J4" s="120"/>
      <c r="K4" s="120"/>
      <c r="L4" s="120"/>
      <c r="M4" s="120"/>
      <c r="N4" s="120"/>
      <c r="O4" s="120"/>
      <c r="P4" s="127"/>
      <c r="Q4" s="127"/>
      <c r="R4" s="127"/>
      <c r="S4" s="127"/>
      <c r="T4" s="134"/>
    </row>
    <row r="5" spans="2:21" ht="33" customHeight="1" thickBot="1">
      <c r="B5" s="375" t="s">
        <v>674</v>
      </c>
      <c r="C5" s="376"/>
      <c r="D5" s="376"/>
      <c r="E5" s="376"/>
      <c r="F5" s="376"/>
      <c r="G5" s="376"/>
      <c r="H5" s="376"/>
      <c r="I5" s="376"/>
      <c r="J5" s="376"/>
      <c r="K5" s="376"/>
      <c r="L5" s="376"/>
      <c r="M5" s="376"/>
      <c r="N5" s="376"/>
      <c r="O5" s="376"/>
      <c r="P5" s="376"/>
      <c r="Q5" s="376"/>
      <c r="R5" s="376"/>
      <c r="S5" s="376"/>
      <c r="T5" s="377"/>
    </row>
    <row r="6" spans="2:21" ht="52.8" customHeight="1" thickBot="1">
      <c r="B6" s="359" t="s">
        <v>402</v>
      </c>
      <c r="C6" s="349" t="s">
        <v>667</v>
      </c>
      <c r="D6" s="349"/>
      <c r="E6" s="349" t="s">
        <v>116</v>
      </c>
      <c r="F6" s="349"/>
      <c r="G6" s="338" t="s">
        <v>668</v>
      </c>
      <c r="H6" s="339"/>
      <c r="I6" s="340"/>
      <c r="J6" s="350" t="s">
        <v>502</v>
      </c>
      <c r="K6" s="351"/>
      <c r="L6" s="351"/>
      <c r="M6" s="351"/>
      <c r="N6" s="351"/>
      <c r="O6" s="351"/>
      <c r="P6" s="338" t="s">
        <v>131</v>
      </c>
      <c r="Q6" s="339"/>
      <c r="R6" s="340"/>
      <c r="S6" s="352" t="s">
        <v>669</v>
      </c>
      <c r="T6" s="341" t="s">
        <v>681</v>
      </c>
      <c r="U6" s="5"/>
    </row>
    <row r="7" spans="2:21" ht="37.799999999999997" customHeight="1" thickBot="1">
      <c r="B7" s="359"/>
      <c r="C7" s="360" t="s">
        <v>114</v>
      </c>
      <c r="D7" s="360" t="s">
        <v>670</v>
      </c>
      <c r="E7" s="349" t="s">
        <v>117</v>
      </c>
      <c r="F7" s="349" t="s">
        <v>671</v>
      </c>
      <c r="G7" s="356"/>
      <c r="H7" s="357"/>
      <c r="I7" s="358"/>
      <c r="J7" s="350" t="s">
        <v>672</v>
      </c>
      <c r="K7" s="351"/>
      <c r="L7" s="354"/>
      <c r="M7" s="350" t="s">
        <v>673</v>
      </c>
      <c r="N7" s="355"/>
      <c r="O7" s="355"/>
      <c r="P7" s="343" t="s">
        <v>666</v>
      </c>
      <c r="Q7" s="344"/>
      <c r="R7" s="345"/>
      <c r="S7" s="353"/>
      <c r="T7" s="342"/>
      <c r="U7" s="5"/>
    </row>
    <row r="8" spans="2:21" ht="37.799999999999997" customHeight="1" thickBot="1">
      <c r="B8" s="359"/>
      <c r="C8" s="361"/>
      <c r="D8" s="361"/>
      <c r="E8" s="349"/>
      <c r="F8" s="349"/>
      <c r="G8" s="254" t="s">
        <v>87</v>
      </c>
      <c r="H8" s="254" t="s">
        <v>88</v>
      </c>
      <c r="I8" s="254" t="s">
        <v>92</v>
      </c>
      <c r="J8" s="135" t="s">
        <v>87</v>
      </c>
      <c r="K8" s="126" t="s">
        <v>88</v>
      </c>
      <c r="L8" s="136" t="s">
        <v>89</v>
      </c>
      <c r="M8" s="173" t="s">
        <v>87</v>
      </c>
      <c r="N8" s="24" t="s">
        <v>88</v>
      </c>
      <c r="O8" s="25" t="s">
        <v>90</v>
      </c>
      <c r="P8" s="255" t="s">
        <v>87</v>
      </c>
      <c r="Q8" s="256" t="s">
        <v>88</v>
      </c>
      <c r="R8" s="257" t="s">
        <v>89</v>
      </c>
      <c r="S8" s="128"/>
      <c r="T8" s="129"/>
      <c r="U8" s="5"/>
    </row>
    <row r="9" spans="2:21" ht="48" customHeight="1">
      <c r="B9" s="258" t="s">
        <v>443</v>
      </c>
      <c r="C9" s="1" t="s">
        <v>168</v>
      </c>
      <c r="D9" s="1" t="s">
        <v>675</v>
      </c>
      <c r="E9" s="145">
        <v>2021</v>
      </c>
      <c r="F9" s="137">
        <v>2025</v>
      </c>
      <c r="G9" s="139">
        <f>'Kostimi i planit te veprimit'!Y22</f>
        <v>76031552</v>
      </c>
      <c r="H9" s="140">
        <f>'Kostimi i planit te veprimit'!Z22</f>
        <v>0</v>
      </c>
      <c r="I9" s="141">
        <f>SUM(G9:H9)</f>
        <v>76031552</v>
      </c>
      <c r="J9" s="139">
        <f>'Kostimi i planit te veprimit'!AB22</f>
        <v>20186024</v>
      </c>
      <c r="K9" s="140">
        <f>'Kostimi i planit te veprimit'!AC22</f>
        <v>0</v>
      </c>
      <c r="L9" s="141">
        <f>J9+K9</f>
        <v>20186024</v>
      </c>
      <c r="M9" s="138">
        <f>'Kostimi i planit te veprimit'!AE22</f>
        <v>0</v>
      </c>
      <c r="N9" s="28">
        <f>'Kostimi i planit te veprimit'!AF22</f>
        <v>0</v>
      </c>
      <c r="O9" s="29">
        <f>M9+N9</f>
        <v>0</v>
      </c>
      <c r="P9" s="29">
        <f>'Kostimi i planit te veprimit'!AI22</f>
        <v>33130832</v>
      </c>
      <c r="Q9" s="29">
        <f>'Kostimi i planit te veprimit'!AJ22</f>
        <v>0</v>
      </c>
      <c r="R9" s="29">
        <f>P9+Q9</f>
        <v>33130832</v>
      </c>
      <c r="S9" s="144">
        <f>'Kostimi i planit te veprimit'!AL22</f>
        <v>-22714696</v>
      </c>
      <c r="T9" s="259">
        <f>I9/124</f>
        <v>613157.67741935479</v>
      </c>
      <c r="U9" s="3">
        <v>50000</v>
      </c>
    </row>
    <row r="10" spans="2:21" ht="62.4" customHeight="1">
      <c r="B10" s="258" t="s">
        <v>500</v>
      </c>
      <c r="C10" s="1" t="s">
        <v>677</v>
      </c>
      <c r="D10" s="1" t="s">
        <v>678</v>
      </c>
      <c r="E10" s="145">
        <v>2021</v>
      </c>
      <c r="F10" s="137">
        <v>2025</v>
      </c>
      <c r="G10" s="142">
        <f>'Kostimi i planit te veprimit'!Y42</f>
        <v>32808208</v>
      </c>
      <c r="H10" s="29">
        <f>'Kostimi i planit te veprimit'!Z42</f>
        <v>75612500</v>
      </c>
      <c r="I10" s="143">
        <f>SUM(G10:H10)</f>
        <v>108420708</v>
      </c>
      <c r="J10" s="142">
        <f>'Kostimi i planit te veprimit'!AB42</f>
        <v>15326608</v>
      </c>
      <c r="K10" s="28">
        <f>'Kostimi i planit te veprimit'!AC42</f>
        <v>0</v>
      </c>
      <c r="L10" s="143">
        <f t="shared" ref="L10:L11" si="0">J10+K10</f>
        <v>15326608</v>
      </c>
      <c r="M10" s="138">
        <f>'Kostimi i planit te veprimit'!AE42</f>
        <v>0</v>
      </c>
      <c r="N10" s="28">
        <f>'Kostimi i planit te veprimit'!AF42</f>
        <v>65550000</v>
      </c>
      <c r="O10" s="29">
        <f t="shared" ref="O10:O11" si="1">M10+N10</f>
        <v>65550000</v>
      </c>
      <c r="P10" s="29">
        <f>'Kostimi i planit te veprimit'!AI42</f>
        <v>8188800</v>
      </c>
      <c r="Q10" s="29">
        <f>'Kostimi i planit te veprimit'!AJ42</f>
        <v>0</v>
      </c>
      <c r="R10" s="29">
        <f t="shared" ref="R10:R11" si="2">P10+Q10</f>
        <v>8188800</v>
      </c>
      <c r="S10" s="144">
        <f>'Kostimi i planit te veprimit'!AL42</f>
        <v>-19355300</v>
      </c>
      <c r="T10" s="259">
        <f>I10/124</f>
        <v>874360.54838709673</v>
      </c>
      <c r="U10" s="3">
        <v>100000</v>
      </c>
    </row>
    <row r="11" spans="2:21" ht="46.8" customHeight="1">
      <c r="B11" s="258" t="s">
        <v>501</v>
      </c>
      <c r="C11" s="1" t="s">
        <v>676</v>
      </c>
      <c r="D11" s="1" t="s">
        <v>631</v>
      </c>
      <c r="E11" s="145">
        <v>2021</v>
      </c>
      <c r="F11" s="137">
        <v>2025</v>
      </c>
      <c r="G11" s="142">
        <f>'Kostimi i planit te veprimit'!Y76</f>
        <v>54065544</v>
      </c>
      <c r="H11" s="28">
        <f>'Kostimi i planit te veprimit'!Z76</f>
        <v>50876000</v>
      </c>
      <c r="I11" s="143">
        <f>SUM(G11:H11)</f>
        <v>104941544</v>
      </c>
      <c r="J11" s="142">
        <f>'Kostimi i planit te veprimit'!AB76</f>
        <v>14944432</v>
      </c>
      <c r="K11" s="28">
        <f>'Kostimi i planit te veprimit'!AC76</f>
        <v>29175500</v>
      </c>
      <c r="L11" s="143">
        <f t="shared" si="0"/>
        <v>44119932</v>
      </c>
      <c r="M11" s="138">
        <f>'Kostimi i planit te veprimit'!AE76</f>
        <v>15209768</v>
      </c>
      <c r="N11" s="28">
        <f>'Kostimi i planit te veprimit'!AF76</f>
        <v>0</v>
      </c>
      <c r="O11" s="29">
        <f t="shared" si="1"/>
        <v>15209768</v>
      </c>
      <c r="P11" s="29">
        <f>'Kostimi i planit te veprimit'!AI76</f>
        <v>9271344</v>
      </c>
      <c r="Q11" s="29">
        <f>'Kostimi i planit te veprimit'!AJ76</f>
        <v>21700500</v>
      </c>
      <c r="R11" s="29">
        <f t="shared" si="2"/>
        <v>30971844</v>
      </c>
      <c r="S11" s="144">
        <f>'Kostimi i planit te veprimit'!AL76</f>
        <v>-14640000</v>
      </c>
      <c r="T11" s="259">
        <f>I11/124</f>
        <v>846302.77419354836</v>
      </c>
      <c r="U11" s="3">
        <v>100000</v>
      </c>
    </row>
    <row r="12" spans="2:21" ht="36.6" customHeight="1" thickBot="1">
      <c r="B12" s="260" t="s">
        <v>760</v>
      </c>
      <c r="C12" s="261"/>
      <c r="D12" s="261"/>
      <c r="E12" s="261"/>
      <c r="F12" s="262"/>
      <c r="G12" s="249">
        <f t="shared" ref="G12:T12" si="3">SUM(G9:G11)</f>
        <v>162905304</v>
      </c>
      <c r="H12" s="250">
        <f t="shared" si="3"/>
        <v>126488500</v>
      </c>
      <c r="I12" s="251">
        <f t="shared" si="3"/>
        <v>289393804</v>
      </c>
      <c r="J12" s="249">
        <f t="shared" si="3"/>
        <v>50457064</v>
      </c>
      <c r="K12" s="250">
        <f t="shared" si="3"/>
        <v>29175500</v>
      </c>
      <c r="L12" s="251">
        <f t="shared" si="3"/>
        <v>79632564</v>
      </c>
      <c r="M12" s="263">
        <f t="shared" si="3"/>
        <v>15209768</v>
      </c>
      <c r="N12" s="264">
        <f t="shared" si="3"/>
        <v>65550000</v>
      </c>
      <c r="O12" s="264">
        <f t="shared" si="3"/>
        <v>80759768</v>
      </c>
      <c r="P12" s="264">
        <f t="shared" ref="P12" si="4">SUM(P9:P11)</f>
        <v>50590976</v>
      </c>
      <c r="Q12" s="264">
        <f t="shared" ref="Q12" si="5">SUM(Q9:Q11)</f>
        <v>21700500</v>
      </c>
      <c r="R12" s="264">
        <f t="shared" ref="R12" si="6">SUM(R9:R11)</f>
        <v>72291476</v>
      </c>
      <c r="S12" s="265">
        <f t="shared" si="3"/>
        <v>-56709996</v>
      </c>
      <c r="T12" s="264">
        <f t="shared" si="3"/>
        <v>2333821</v>
      </c>
      <c r="U12" s="4">
        <v>5250000</v>
      </c>
    </row>
    <row r="13" spans="2:21" ht="38.25" customHeight="1" thickBot="1">
      <c r="B13" s="370" t="s">
        <v>679</v>
      </c>
      <c r="C13" s="371"/>
      <c r="D13" s="371"/>
      <c r="E13" s="371"/>
      <c r="F13" s="371"/>
      <c r="G13" s="371"/>
      <c r="H13" s="371"/>
      <c r="I13" s="371"/>
      <c r="J13" s="371"/>
      <c r="K13" s="371"/>
      <c r="L13" s="371"/>
      <c r="M13" s="371"/>
      <c r="N13" s="371"/>
      <c r="O13" s="371"/>
      <c r="P13" s="371"/>
      <c r="Q13" s="371"/>
      <c r="R13" s="371"/>
      <c r="S13" s="371"/>
      <c r="T13" s="372"/>
    </row>
    <row r="14" spans="2:21" ht="37.799999999999997" customHeight="1" thickBot="1">
      <c r="B14" s="359" t="s">
        <v>402</v>
      </c>
      <c r="C14" s="349" t="s">
        <v>667</v>
      </c>
      <c r="D14" s="349"/>
      <c r="E14" s="349" t="s">
        <v>116</v>
      </c>
      <c r="F14" s="349"/>
      <c r="G14" s="338" t="s">
        <v>668</v>
      </c>
      <c r="H14" s="339"/>
      <c r="I14" s="340"/>
      <c r="J14" s="350" t="s">
        <v>502</v>
      </c>
      <c r="K14" s="351"/>
      <c r="L14" s="351"/>
      <c r="M14" s="351"/>
      <c r="N14" s="351"/>
      <c r="O14" s="351"/>
      <c r="P14" s="338" t="s">
        <v>131</v>
      </c>
      <c r="Q14" s="339"/>
      <c r="R14" s="340"/>
      <c r="S14" s="352" t="s">
        <v>669</v>
      </c>
      <c r="T14" s="341" t="s">
        <v>681</v>
      </c>
      <c r="U14" s="5"/>
    </row>
    <row r="15" spans="2:21" ht="37.799999999999997" customHeight="1" thickBot="1">
      <c r="B15" s="359"/>
      <c r="C15" s="360" t="s">
        <v>114</v>
      </c>
      <c r="D15" s="360" t="s">
        <v>670</v>
      </c>
      <c r="E15" s="349" t="s">
        <v>117</v>
      </c>
      <c r="F15" s="349" t="s">
        <v>671</v>
      </c>
      <c r="G15" s="356"/>
      <c r="H15" s="357"/>
      <c r="I15" s="358"/>
      <c r="J15" s="350" t="s">
        <v>672</v>
      </c>
      <c r="K15" s="351"/>
      <c r="L15" s="354"/>
      <c r="M15" s="350" t="s">
        <v>673</v>
      </c>
      <c r="N15" s="355"/>
      <c r="O15" s="355"/>
      <c r="P15" s="343" t="s">
        <v>666</v>
      </c>
      <c r="Q15" s="344"/>
      <c r="R15" s="345"/>
      <c r="S15" s="353"/>
      <c r="T15" s="342"/>
      <c r="U15" s="5"/>
    </row>
    <row r="16" spans="2:21" ht="37.799999999999997" customHeight="1" thickBot="1">
      <c r="B16" s="359"/>
      <c r="C16" s="361"/>
      <c r="D16" s="361"/>
      <c r="E16" s="349"/>
      <c r="F16" s="349"/>
      <c r="G16" s="254" t="s">
        <v>87</v>
      </c>
      <c r="H16" s="254" t="s">
        <v>88</v>
      </c>
      <c r="I16" s="254" t="s">
        <v>92</v>
      </c>
      <c r="J16" s="135" t="s">
        <v>87</v>
      </c>
      <c r="K16" s="126" t="s">
        <v>88</v>
      </c>
      <c r="L16" s="136" t="s">
        <v>89</v>
      </c>
      <c r="M16" s="173" t="s">
        <v>87</v>
      </c>
      <c r="N16" s="24" t="s">
        <v>88</v>
      </c>
      <c r="O16" s="25" t="s">
        <v>90</v>
      </c>
      <c r="P16" s="255" t="s">
        <v>87</v>
      </c>
      <c r="Q16" s="256" t="s">
        <v>88</v>
      </c>
      <c r="R16" s="257" t="s">
        <v>89</v>
      </c>
      <c r="S16" s="128"/>
      <c r="T16" s="129"/>
      <c r="U16" s="5"/>
    </row>
    <row r="17" spans="2:21" ht="72" customHeight="1">
      <c r="B17" s="258" t="s">
        <v>423</v>
      </c>
      <c r="C17" s="1" t="s">
        <v>361</v>
      </c>
      <c r="D17" s="1" t="s">
        <v>680</v>
      </c>
      <c r="E17" s="145">
        <v>2021</v>
      </c>
      <c r="F17" s="145">
        <v>2025</v>
      </c>
      <c r="G17" s="28">
        <f>'Kostimi i planit te veprimit'!Y96</f>
        <v>31145826.800000001</v>
      </c>
      <c r="H17" s="28">
        <f>'Kostimi i planit te veprimit'!Z96</f>
        <v>1495000</v>
      </c>
      <c r="I17" s="29">
        <f>SUM(G17:H17)</f>
        <v>32640826.800000001</v>
      </c>
      <c r="J17" s="28">
        <f>'Kostimi i planit te veprimit'!AB96</f>
        <v>464010</v>
      </c>
      <c r="K17" s="28">
        <f>'Kostimi i planit te veprimit'!AC96</f>
        <v>1150000</v>
      </c>
      <c r="L17" s="29">
        <f>J17+K17</f>
        <v>1614010</v>
      </c>
      <c r="M17" s="28">
        <f>'Kostimi i planit te veprimit'!AE96</f>
        <v>8884848</v>
      </c>
      <c r="N17" s="28">
        <f>'Kostimi i planit te veprimit'!AF96</f>
        <v>0</v>
      </c>
      <c r="O17" s="29">
        <f>M17+N17</f>
        <v>8884848</v>
      </c>
      <c r="P17" s="28">
        <f>'Kostimi i planit te veprimit'!AI96</f>
        <v>3080736</v>
      </c>
      <c r="Q17" s="28">
        <f>'Kostimi i planit te veprimit'!AJ96</f>
        <v>345000</v>
      </c>
      <c r="R17" s="29">
        <f>P17+Q17</f>
        <v>3425736</v>
      </c>
      <c r="S17" s="144">
        <f>'Kostimi i planit te veprimit'!AL96</f>
        <v>-18716232.800000001</v>
      </c>
      <c r="T17" s="259">
        <f>I17/124</f>
        <v>263232.47419354838</v>
      </c>
      <c r="U17" s="3">
        <v>125900000</v>
      </c>
    </row>
    <row r="18" spans="2:21" ht="60" customHeight="1">
      <c r="B18" s="258" t="s">
        <v>424</v>
      </c>
      <c r="C18" s="1" t="s">
        <v>168</v>
      </c>
      <c r="D18" s="1" t="s">
        <v>378</v>
      </c>
      <c r="E18" s="145">
        <v>2021</v>
      </c>
      <c r="F18" s="145">
        <v>2025</v>
      </c>
      <c r="G18" s="28">
        <f>'Kostimi i planit te veprimit'!Y105</f>
        <v>17726076.800000001</v>
      </c>
      <c r="H18" s="28">
        <f>'Kostimi i planit te veprimit'!Z105</f>
        <v>0</v>
      </c>
      <c r="I18" s="29">
        <f>SUM(G18:H18)</f>
        <v>17726076.800000001</v>
      </c>
      <c r="J18" s="28">
        <f>'Kostimi i planit te veprimit'!AB105</f>
        <v>0</v>
      </c>
      <c r="K18" s="28">
        <f>'Kostimi i planit te veprimit'!AC105</f>
        <v>0</v>
      </c>
      <c r="L18" s="29">
        <f t="shared" ref="L18:L19" si="7">J18+K18</f>
        <v>0</v>
      </c>
      <c r="M18" s="28">
        <f>'Kostimi i planit te veprimit'!AE105</f>
        <v>0</v>
      </c>
      <c r="N18" s="28">
        <f>'Kostimi i planit te veprimit'!AF105</f>
        <v>0</v>
      </c>
      <c r="O18" s="29">
        <f t="shared" ref="O18:O19" si="8">M18+N18</f>
        <v>0</v>
      </c>
      <c r="P18" s="28">
        <f>'Kostimi i planit te veprimit'!AI105</f>
        <v>13409677</v>
      </c>
      <c r="Q18" s="28">
        <f>'Kostimi i planit te veprimit'!AJ105</f>
        <v>0</v>
      </c>
      <c r="R18" s="29">
        <f t="shared" ref="R18:R19" si="9">P18+Q18</f>
        <v>13409677</v>
      </c>
      <c r="S18" s="144">
        <f>'Kostimi i planit te veprimit'!AL105</f>
        <v>-4316399.8</v>
      </c>
      <c r="T18" s="259">
        <f>I18/124</f>
        <v>142952.23225806453</v>
      </c>
      <c r="U18" s="3">
        <v>525200000</v>
      </c>
    </row>
    <row r="19" spans="2:21" ht="64.2" customHeight="1">
      <c r="B19" s="258" t="s">
        <v>425</v>
      </c>
      <c r="C19" s="1" t="s">
        <v>389</v>
      </c>
      <c r="D19" s="1" t="s">
        <v>168</v>
      </c>
      <c r="E19" s="145">
        <v>2021</v>
      </c>
      <c r="F19" s="145">
        <v>2025</v>
      </c>
      <c r="G19" s="28">
        <f>'Kostimi i planit te veprimit'!Y114</f>
        <v>41658464</v>
      </c>
      <c r="H19" s="28">
        <f>'Kostimi i planit te veprimit'!Z114</f>
        <v>124200000</v>
      </c>
      <c r="I19" s="29">
        <f>SUM(G19:H19)</f>
        <v>165858464</v>
      </c>
      <c r="J19" s="28">
        <f>'Kostimi i planit te veprimit'!AB114</f>
        <v>2035488</v>
      </c>
      <c r="K19" s="28">
        <f>'Kostimi i planit te veprimit'!AC114</f>
        <v>0</v>
      </c>
      <c r="L19" s="29">
        <f t="shared" si="7"/>
        <v>2035488</v>
      </c>
      <c r="M19" s="28">
        <f>'Kostimi i planit te veprimit'!AE114</f>
        <v>0</v>
      </c>
      <c r="N19" s="28">
        <f>'Kostimi i planit te veprimit'!AF114</f>
        <v>0</v>
      </c>
      <c r="O19" s="29">
        <f t="shared" si="8"/>
        <v>0</v>
      </c>
      <c r="P19" s="28">
        <f>'Kostimi i planit te veprimit'!AI114</f>
        <v>134234720</v>
      </c>
      <c r="Q19" s="28">
        <f>'Kostimi i planit te veprimit'!AJ114</f>
        <v>0</v>
      </c>
      <c r="R19" s="29">
        <f t="shared" si="9"/>
        <v>134234720</v>
      </c>
      <c r="S19" s="144">
        <f>'Kostimi i planit te veprimit'!AL114</f>
        <v>-29588256</v>
      </c>
      <c r="T19" s="259">
        <f>I19/124</f>
        <v>1337568.2580645161</v>
      </c>
      <c r="U19" s="3">
        <v>461720000</v>
      </c>
    </row>
    <row r="20" spans="2:21" ht="41.4" customHeight="1" thickBot="1">
      <c r="B20" s="266" t="s">
        <v>761</v>
      </c>
      <c r="C20" s="267"/>
      <c r="D20" s="267"/>
      <c r="E20" s="267"/>
      <c r="F20" s="267"/>
      <c r="G20" s="252">
        <f t="shared" ref="G20:T20" si="10">SUM(G17:G19)</f>
        <v>90530367.599999994</v>
      </c>
      <c r="H20" s="252">
        <f t="shared" si="10"/>
        <v>125695000</v>
      </c>
      <c r="I20" s="252">
        <f t="shared" si="10"/>
        <v>216225367.59999999</v>
      </c>
      <c r="J20" s="252">
        <f t="shared" si="10"/>
        <v>2499498</v>
      </c>
      <c r="K20" s="252">
        <f t="shared" si="10"/>
        <v>1150000</v>
      </c>
      <c r="L20" s="252">
        <f t="shared" si="10"/>
        <v>3649498</v>
      </c>
      <c r="M20" s="252">
        <f t="shared" si="10"/>
        <v>8884848</v>
      </c>
      <c r="N20" s="252">
        <f t="shared" si="10"/>
        <v>0</v>
      </c>
      <c r="O20" s="252">
        <f t="shared" si="10"/>
        <v>8884848</v>
      </c>
      <c r="P20" s="252">
        <f t="shared" si="10"/>
        <v>150725133</v>
      </c>
      <c r="Q20" s="252">
        <f t="shared" si="10"/>
        <v>345000</v>
      </c>
      <c r="R20" s="252">
        <f t="shared" si="10"/>
        <v>151070133</v>
      </c>
      <c r="S20" s="253">
        <f t="shared" si="10"/>
        <v>-52620888.600000001</v>
      </c>
      <c r="T20" s="252">
        <f t="shared" si="10"/>
        <v>1743752.9645161289</v>
      </c>
      <c r="U20" s="4">
        <v>1112820000</v>
      </c>
    </row>
    <row r="21" spans="2:21" ht="36" customHeight="1" thickBot="1">
      <c r="B21" s="346" t="s">
        <v>682</v>
      </c>
      <c r="C21" s="347"/>
      <c r="D21" s="347"/>
      <c r="E21" s="347"/>
      <c r="F21" s="347"/>
      <c r="G21" s="347"/>
      <c r="H21" s="347"/>
      <c r="I21" s="347"/>
      <c r="J21" s="347"/>
      <c r="K21" s="347"/>
      <c r="L21" s="347"/>
      <c r="M21" s="347"/>
      <c r="N21" s="347"/>
      <c r="O21" s="347"/>
      <c r="P21" s="347"/>
      <c r="Q21" s="347"/>
      <c r="R21" s="347"/>
      <c r="S21" s="347"/>
      <c r="T21" s="348"/>
    </row>
    <row r="22" spans="2:21" ht="37.799999999999997" customHeight="1" thickBot="1">
      <c r="B22" s="359" t="s">
        <v>402</v>
      </c>
      <c r="C22" s="349" t="s">
        <v>667</v>
      </c>
      <c r="D22" s="349"/>
      <c r="E22" s="349" t="s">
        <v>116</v>
      </c>
      <c r="F22" s="349"/>
      <c r="G22" s="338" t="s">
        <v>668</v>
      </c>
      <c r="H22" s="339"/>
      <c r="I22" s="340"/>
      <c r="J22" s="350" t="s">
        <v>502</v>
      </c>
      <c r="K22" s="351"/>
      <c r="L22" s="351"/>
      <c r="M22" s="351"/>
      <c r="N22" s="351"/>
      <c r="O22" s="351"/>
      <c r="P22" s="338" t="s">
        <v>131</v>
      </c>
      <c r="Q22" s="339"/>
      <c r="R22" s="340"/>
      <c r="S22" s="352" t="s">
        <v>669</v>
      </c>
      <c r="T22" s="341" t="s">
        <v>681</v>
      </c>
      <c r="U22" s="5"/>
    </row>
    <row r="23" spans="2:21" ht="37.799999999999997" customHeight="1" thickBot="1">
      <c r="B23" s="359"/>
      <c r="C23" s="360" t="s">
        <v>114</v>
      </c>
      <c r="D23" s="360" t="s">
        <v>670</v>
      </c>
      <c r="E23" s="349" t="s">
        <v>117</v>
      </c>
      <c r="F23" s="349" t="s">
        <v>671</v>
      </c>
      <c r="G23" s="356"/>
      <c r="H23" s="357"/>
      <c r="I23" s="358"/>
      <c r="J23" s="350" t="s">
        <v>672</v>
      </c>
      <c r="K23" s="351"/>
      <c r="L23" s="354"/>
      <c r="M23" s="350" t="s">
        <v>673</v>
      </c>
      <c r="N23" s="355"/>
      <c r="O23" s="355"/>
      <c r="P23" s="343" t="s">
        <v>666</v>
      </c>
      <c r="Q23" s="344"/>
      <c r="R23" s="345"/>
      <c r="S23" s="353"/>
      <c r="T23" s="342"/>
      <c r="U23" s="5"/>
    </row>
    <row r="24" spans="2:21" ht="60.6" customHeight="1" thickBot="1">
      <c r="B24" s="359"/>
      <c r="C24" s="361"/>
      <c r="D24" s="361"/>
      <c r="E24" s="349"/>
      <c r="F24" s="349"/>
      <c r="G24" s="254" t="s">
        <v>87</v>
      </c>
      <c r="H24" s="254" t="s">
        <v>88</v>
      </c>
      <c r="I24" s="254" t="s">
        <v>92</v>
      </c>
      <c r="J24" s="135" t="s">
        <v>87</v>
      </c>
      <c r="K24" s="126" t="s">
        <v>88</v>
      </c>
      <c r="L24" s="136" t="s">
        <v>89</v>
      </c>
      <c r="M24" s="173" t="s">
        <v>87</v>
      </c>
      <c r="N24" s="24" t="s">
        <v>88</v>
      </c>
      <c r="O24" s="25" t="s">
        <v>90</v>
      </c>
      <c r="P24" s="255" t="s">
        <v>87</v>
      </c>
      <c r="Q24" s="256" t="s">
        <v>88</v>
      </c>
      <c r="R24" s="257" t="s">
        <v>89</v>
      </c>
      <c r="S24" s="128"/>
      <c r="T24" s="129"/>
      <c r="U24" s="5"/>
    </row>
    <row r="25" spans="2:21" ht="62.4">
      <c r="B25" s="258" t="s">
        <v>420</v>
      </c>
      <c r="C25" s="2" t="s">
        <v>318</v>
      </c>
      <c r="D25" s="2" t="s">
        <v>319</v>
      </c>
      <c r="E25" s="145">
        <v>2021</v>
      </c>
      <c r="F25" s="145">
        <v>2025</v>
      </c>
      <c r="G25" s="28">
        <f>'Kostimi i planit te veprimit'!Y132</f>
        <v>54171576</v>
      </c>
      <c r="H25" s="28">
        <f>'Kostimi i planit te veprimit'!Z132</f>
        <v>0</v>
      </c>
      <c r="I25" s="29">
        <f>SUM(G25:H25)</f>
        <v>54171576</v>
      </c>
      <c r="J25" s="28">
        <f>'Kostimi i planit te veprimit'!AB132</f>
        <v>32756328</v>
      </c>
      <c r="K25" s="28">
        <f>'Kostimi i planit te veprimit'!AC132</f>
        <v>0</v>
      </c>
      <c r="L25" s="29">
        <f>'Kostimi i planit te veprimit'!AD132</f>
        <v>32756328</v>
      </c>
      <c r="M25" s="28">
        <f>'Kostimi i planit te veprimit'!AE132</f>
        <v>0</v>
      </c>
      <c r="N25" s="28">
        <f>'Kostimi i planit te veprimit'!AF132</f>
        <v>0</v>
      </c>
      <c r="O25" s="29">
        <f>'Kostimi i planit te veprimit'!AH132</f>
        <v>0</v>
      </c>
      <c r="P25" s="28">
        <f>'Kostimi i planit te veprimit'!AI132</f>
        <v>14485248</v>
      </c>
      <c r="Q25" s="28">
        <f>'Kostimi i planit te veprimit'!AJ132</f>
        <v>0</v>
      </c>
      <c r="R25" s="29">
        <f>SUM(P25:Q25)</f>
        <v>14485248</v>
      </c>
      <c r="S25" s="144">
        <f>'Kostimi i planit te veprimit'!AL132</f>
        <v>-6930000</v>
      </c>
      <c r="T25" s="259">
        <f t="shared" ref="T25:T27" si="11">I25/124</f>
        <v>436867.54838709679</v>
      </c>
      <c r="U25" s="3">
        <v>529017000</v>
      </c>
    </row>
    <row r="26" spans="2:21" ht="49.2" customHeight="1">
      <c r="B26" s="258" t="s">
        <v>421</v>
      </c>
      <c r="C26" s="2" t="s">
        <v>318</v>
      </c>
      <c r="D26" s="2" t="s">
        <v>319</v>
      </c>
      <c r="E26" s="145">
        <v>2021</v>
      </c>
      <c r="F26" s="145">
        <v>2025</v>
      </c>
      <c r="G26" s="28">
        <f>'Kostimi i planit te veprimit'!Y146</f>
        <v>65848608</v>
      </c>
      <c r="H26" s="28">
        <f>'Kostimi i planit te veprimit'!Z146</f>
        <v>0</v>
      </c>
      <c r="I26" s="29">
        <f t="shared" ref="I26:I27" si="12">SUM(G26:H26)</f>
        <v>65848608</v>
      </c>
      <c r="J26" s="28">
        <f>'Kostimi i planit te veprimit'!AB146</f>
        <v>38868304</v>
      </c>
      <c r="K26" s="28">
        <f>'Kostimi i planit te veprimit'!AC146</f>
        <v>0</v>
      </c>
      <c r="L26" s="29">
        <f>'Kostimi i planit te veprimit'!AD146</f>
        <v>38868304</v>
      </c>
      <c r="M26" s="28">
        <f>'Kostimi i planit te veprimit'!AE146</f>
        <v>0</v>
      </c>
      <c r="N26" s="28">
        <f>'Kostimi i planit te veprimit'!AF146</f>
        <v>0</v>
      </c>
      <c r="O26" s="29">
        <f>SUM(M26:N26)</f>
        <v>0</v>
      </c>
      <c r="P26" s="28">
        <f>'Kostimi i planit te veprimit'!AI146</f>
        <v>26980304</v>
      </c>
      <c r="Q26" s="28">
        <f>'Kostimi i planit te veprimit'!AJ146</f>
        <v>0</v>
      </c>
      <c r="R26" s="29">
        <f t="shared" ref="R26:R27" si="13">SUM(P26:Q26)</f>
        <v>26980304</v>
      </c>
      <c r="S26" s="144">
        <f>'Kostimi i planit te veprimit'!AL146</f>
        <v>0</v>
      </c>
      <c r="T26" s="259">
        <f t="shared" si="11"/>
        <v>531037.16129032255</v>
      </c>
      <c r="U26" s="3" t="s">
        <v>70</v>
      </c>
    </row>
    <row r="27" spans="2:21" ht="72.599999999999994" customHeight="1">
      <c r="B27" s="258" t="s">
        <v>422</v>
      </c>
      <c r="C27" s="2" t="s">
        <v>318</v>
      </c>
      <c r="D27" s="1" t="s">
        <v>698</v>
      </c>
      <c r="E27" s="145">
        <v>2021</v>
      </c>
      <c r="F27" s="145">
        <v>2025</v>
      </c>
      <c r="G27" s="28">
        <f>'Kostimi i planit te veprimit'!Y158</f>
        <v>15425768</v>
      </c>
      <c r="H27" s="28">
        <f>'Kostimi i planit te veprimit'!Z158</f>
        <v>0</v>
      </c>
      <c r="I27" s="29">
        <f t="shared" si="12"/>
        <v>15425768</v>
      </c>
      <c r="J27" s="28">
        <f>'Kostimi i planit te veprimit'!AB158</f>
        <v>3572072</v>
      </c>
      <c r="K27" s="28">
        <f>'Kostimi i planit te veprimit'!AC158</f>
        <v>0</v>
      </c>
      <c r="L27" s="29">
        <f>'Kostimi i planit te veprimit'!AD158</f>
        <v>3572072</v>
      </c>
      <c r="M27" s="28">
        <f>'Kostimi i planit te veprimit'!AE158</f>
        <v>0</v>
      </c>
      <c r="N27" s="28">
        <f>'Kostimi i planit te veprimit'!AF158</f>
        <v>0</v>
      </c>
      <c r="O27" s="29">
        <f>SUM(M27:N27)</f>
        <v>0</v>
      </c>
      <c r="P27" s="28">
        <f>'Kostimi i planit te veprimit'!AI158</f>
        <v>3352896</v>
      </c>
      <c r="Q27" s="28">
        <f>'Kostimi i planit te veprimit'!AJ158</f>
        <v>0</v>
      </c>
      <c r="R27" s="29">
        <f t="shared" si="13"/>
        <v>3352896</v>
      </c>
      <c r="S27" s="144">
        <f>'Kostimi i planit te veprimit'!AL158</f>
        <v>-8500800</v>
      </c>
      <c r="T27" s="259">
        <f t="shared" si="11"/>
        <v>124401.35483870968</v>
      </c>
      <c r="U27" s="3">
        <v>0</v>
      </c>
    </row>
    <row r="28" spans="2:21" ht="48.6" customHeight="1" thickBot="1">
      <c r="B28" s="266" t="s">
        <v>762</v>
      </c>
      <c r="C28" s="267"/>
      <c r="D28" s="267"/>
      <c r="E28" s="267"/>
      <c r="F28" s="267"/>
      <c r="G28" s="252">
        <f t="shared" ref="G28:T28" si="14">SUM(G25:G27)</f>
        <v>135445952</v>
      </c>
      <c r="H28" s="252">
        <f t="shared" si="14"/>
        <v>0</v>
      </c>
      <c r="I28" s="252">
        <f t="shared" si="14"/>
        <v>135445952</v>
      </c>
      <c r="J28" s="252">
        <f t="shared" si="14"/>
        <v>75196704</v>
      </c>
      <c r="K28" s="252">
        <f t="shared" si="14"/>
        <v>0</v>
      </c>
      <c r="L28" s="252">
        <f t="shared" si="14"/>
        <v>75196704</v>
      </c>
      <c r="M28" s="252">
        <f t="shared" si="14"/>
        <v>0</v>
      </c>
      <c r="N28" s="252">
        <f t="shared" si="14"/>
        <v>0</v>
      </c>
      <c r="O28" s="252">
        <f t="shared" si="14"/>
        <v>0</v>
      </c>
      <c r="P28" s="252">
        <f t="shared" si="14"/>
        <v>44818448</v>
      </c>
      <c r="Q28" s="252">
        <f t="shared" si="14"/>
        <v>0</v>
      </c>
      <c r="R28" s="252">
        <f t="shared" si="14"/>
        <v>44818448</v>
      </c>
      <c r="S28" s="268">
        <f t="shared" si="14"/>
        <v>-15430800</v>
      </c>
      <c r="T28" s="252">
        <f t="shared" si="14"/>
        <v>1092306.064516129</v>
      </c>
      <c r="U28" s="4">
        <v>535117000</v>
      </c>
    </row>
    <row r="29" spans="2:21" ht="37.799999999999997" customHeight="1" thickBot="1">
      <c r="B29" s="346" t="s">
        <v>697</v>
      </c>
      <c r="C29" s="371"/>
      <c r="D29" s="371"/>
      <c r="E29" s="371"/>
      <c r="F29" s="371"/>
      <c r="G29" s="371"/>
      <c r="H29" s="371"/>
      <c r="I29" s="371"/>
      <c r="J29" s="371"/>
      <c r="K29" s="371"/>
      <c r="L29" s="371"/>
      <c r="M29" s="371"/>
      <c r="N29" s="371"/>
      <c r="O29" s="371"/>
      <c r="P29" s="371"/>
      <c r="Q29" s="371"/>
      <c r="R29" s="371"/>
      <c r="S29" s="371"/>
      <c r="T29" s="372"/>
    </row>
    <row r="30" spans="2:21" ht="37.799999999999997" customHeight="1" thickBot="1">
      <c r="B30" s="359" t="s">
        <v>402</v>
      </c>
      <c r="C30" s="349" t="s">
        <v>667</v>
      </c>
      <c r="D30" s="349"/>
      <c r="E30" s="349" t="s">
        <v>116</v>
      </c>
      <c r="F30" s="349"/>
      <c r="G30" s="338" t="s">
        <v>668</v>
      </c>
      <c r="H30" s="339"/>
      <c r="I30" s="340"/>
      <c r="J30" s="350" t="s">
        <v>502</v>
      </c>
      <c r="K30" s="351"/>
      <c r="L30" s="351"/>
      <c r="M30" s="351"/>
      <c r="N30" s="351"/>
      <c r="O30" s="351"/>
      <c r="P30" s="338" t="s">
        <v>131</v>
      </c>
      <c r="Q30" s="339"/>
      <c r="R30" s="340"/>
      <c r="S30" s="352" t="s">
        <v>669</v>
      </c>
      <c r="T30" s="341" t="s">
        <v>681</v>
      </c>
      <c r="U30" s="5"/>
    </row>
    <row r="31" spans="2:21" ht="37.799999999999997" customHeight="1" thickBot="1">
      <c r="B31" s="359"/>
      <c r="C31" s="360" t="s">
        <v>114</v>
      </c>
      <c r="D31" s="360" t="s">
        <v>670</v>
      </c>
      <c r="E31" s="349" t="s">
        <v>117</v>
      </c>
      <c r="F31" s="349" t="s">
        <v>671</v>
      </c>
      <c r="G31" s="356"/>
      <c r="H31" s="357"/>
      <c r="I31" s="358"/>
      <c r="J31" s="350" t="s">
        <v>672</v>
      </c>
      <c r="K31" s="351"/>
      <c r="L31" s="354"/>
      <c r="M31" s="350" t="s">
        <v>673</v>
      </c>
      <c r="N31" s="355"/>
      <c r="O31" s="355"/>
      <c r="P31" s="343" t="s">
        <v>134</v>
      </c>
      <c r="Q31" s="344"/>
      <c r="R31" s="345"/>
      <c r="S31" s="353"/>
      <c r="T31" s="342"/>
      <c r="U31" s="5"/>
    </row>
    <row r="32" spans="2:21" ht="60.6" customHeight="1" thickBot="1">
      <c r="B32" s="359"/>
      <c r="C32" s="361"/>
      <c r="D32" s="361"/>
      <c r="E32" s="349"/>
      <c r="F32" s="349"/>
      <c r="G32" s="256" t="s">
        <v>87</v>
      </c>
      <c r="H32" s="256" t="s">
        <v>88</v>
      </c>
      <c r="I32" s="256" t="s">
        <v>92</v>
      </c>
      <c r="J32" s="166" t="s">
        <v>87</v>
      </c>
      <c r="K32" s="128" t="s">
        <v>88</v>
      </c>
      <c r="L32" s="167" t="s">
        <v>89</v>
      </c>
      <c r="M32" s="173" t="s">
        <v>87</v>
      </c>
      <c r="N32" s="24" t="s">
        <v>88</v>
      </c>
      <c r="O32" s="25" t="s">
        <v>90</v>
      </c>
      <c r="P32" s="255" t="s">
        <v>87</v>
      </c>
      <c r="Q32" s="256" t="s">
        <v>88</v>
      </c>
      <c r="R32" s="257" t="s">
        <v>89</v>
      </c>
      <c r="S32" s="128"/>
      <c r="T32" s="129"/>
      <c r="U32" s="5"/>
    </row>
    <row r="33" spans="2:21" ht="57" customHeight="1">
      <c r="B33" s="269" t="s">
        <v>419</v>
      </c>
      <c r="C33" s="2" t="s">
        <v>195</v>
      </c>
      <c r="D33" s="270" t="s">
        <v>701</v>
      </c>
      <c r="E33" s="145">
        <v>2021</v>
      </c>
      <c r="F33" s="145">
        <v>2025</v>
      </c>
      <c r="G33" s="150">
        <f>'Kostimi i planit te veprimit'!Y178</f>
        <v>160144670</v>
      </c>
      <c r="H33" s="150">
        <f>'Kostimi i planit te veprimit'!Z178</f>
        <v>0</v>
      </c>
      <c r="I33" s="151">
        <f>SUM(G33:H33)</f>
        <v>160144670</v>
      </c>
      <c r="J33" s="150">
        <f>'Kostimi i planit te veprimit'!AB178</f>
        <v>85309698</v>
      </c>
      <c r="K33" s="150">
        <f>'Kostimi i planit te veprimit'!AC178</f>
        <v>0</v>
      </c>
      <c r="L33" s="151">
        <f>SUM(J33:K33)</f>
        <v>85309698</v>
      </c>
      <c r="M33" s="26">
        <f>'Kostimi i planit te veprimit'!AE178</f>
        <v>0</v>
      </c>
      <c r="N33" s="26">
        <f>'Kostimi i planit te veprimit'!AF178</f>
        <v>0</v>
      </c>
      <c r="O33" s="27">
        <f>SUM(M33:N33)</f>
        <v>0</v>
      </c>
      <c r="P33" s="28">
        <f>'Kostimi i planit te veprimit'!AI178</f>
        <v>66841772</v>
      </c>
      <c r="Q33" s="28">
        <f>'Kostimi i planit te veprimit'!AJ178</f>
        <v>0</v>
      </c>
      <c r="R33" s="27">
        <f>SUM(P33:Q33)</f>
        <v>66841772</v>
      </c>
      <c r="S33" s="155">
        <f>'Kostimi i planit te veprimit'!AL178</f>
        <v>-7993200</v>
      </c>
      <c r="T33" s="259">
        <f>I33/124</f>
        <v>1291489.2741935484</v>
      </c>
      <c r="U33" s="3" t="s">
        <v>74</v>
      </c>
    </row>
    <row r="34" spans="2:21" ht="45.6" customHeight="1">
      <c r="B34" s="269" t="s">
        <v>416</v>
      </c>
      <c r="C34" s="2" t="s">
        <v>195</v>
      </c>
      <c r="D34" s="1"/>
      <c r="E34" s="145">
        <v>2021</v>
      </c>
      <c r="F34" s="145">
        <v>2025</v>
      </c>
      <c r="G34" s="150">
        <f>'Kostimi i planit te veprimit'!Y187</f>
        <v>58261804</v>
      </c>
      <c r="H34" s="150">
        <f>'Kostimi i planit te veprimit'!Z187</f>
        <v>0</v>
      </c>
      <c r="I34" s="27">
        <f>SUM(G34:H34)</f>
        <v>58261804</v>
      </c>
      <c r="J34" s="150">
        <f>'Kostimi i planit te veprimit'!AB187</f>
        <v>593880</v>
      </c>
      <c r="K34" s="150">
        <f>'Kostimi i planit te veprimit'!AC187</f>
        <v>0</v>
      </c>
      <c r="L34" s="151">
        <f>SUM(J34:K34)</f>
        <v>593880</v>
      </c>
      <c r="M34" s="26">
        <f>'Kostimi i planit te veprimit'!AE187</f>
        <v>1026000</v>
      </c>
      <c r="N34" s="26">
        <f>'Kostimi i planit te veprimit'!AF187</f>
        <v>0</v>
      </c>
      <c r="O34" s="27">
        <f>'Kostimi i planit te veprimit'!AH187</f>
        <v>1026000</v>
      </c>
      <c r="P34" s="28">
        <f>'Kostimi i planit te veprimit'!AI187</f>
        <v>25815976</v>
      </c>
      <c r="Q34" s="28">
        <f>'Kostimi i planit te veprimit'!AJ187</f>
        <v>0</v>
      </c>
      <c r="R34" s="27">
        <f>SUM(P34:Q34)</f>
        <v>25815976</v>
      </c>
      <c r="S34" s="155">
        <f>'Kostimi i planit te veprimit'!AL187</f>
        <v>-30825948</v>
      </c>
      <c r="T34" s="259">
        <f>I34/124</f>
        <v>469853.25806451612</v>
      </c>
      <c r="U34" s="3" t="s">
        <v>74</v>
      </c>
    </row>
    <row r="35" spans="2:21" ht="38.4" customHeight="1" thickBot="1">
      <c r="B35" s="266" t="s">
        <v>763</v>
      </c>
      <c r="C35" s="267"/>
      <c r="D35" s="267"/>
      <c r="E35" s="267"/>
      <c r="F35" s="267"/>
      <c r="G35" s="252">
        <f t="shared" ref="G35:T35" si="15">SUM(G33:G34)</f>
        <v>218406474</v>
      </c>
      <c r="H35" s="252">
        <f t="shared" si="15"/>
        <v>0</v>
      </c>
      <c r="I35" s="252">
        <f t="shared" si="15"/>
        <v>218406474</v>
      </c>
      <c r="J35" s="252">
        <f t="shared" si="15"/>
        <v>85903578</v>
      </c>
      <c r="K35" s="252">
        <f t="shared" si="15"/>
        <v>0</v>
      </c>
      <c r="L35" s="252">
        <f t="shared" si="15"/>
        <v>85903578</v>
      </c>
      <c r="M35" s="252">
        <f t="shared" si="15"/>
        <v>1026000</v>
      </c>
      <c r="N35" s="252">
        <f t="shared" si="15"/>
        <v>0</v>
      </c>
      <c r="O35" s="252">
        <f t="shared" si="15"/>
        <v>1026000</v>
      </c>
      <c r="P35" s="252">
        <f t="shared" si="15"/>
        <v>92657748</v>
      </c>
      <c r="Q35" s="252">
        <f t="shared" si="15"/>
        <v>0</v>
      </c>
      <c r="R35" s="252">
        <f t="shared" si="15"/>
        <v>92657748</v>
      </c>
      <c r="S35" s="253">
        <f t="shared" si="15"/>
        <v>-38819148</v>
      </c>
      <c r="T35" s="271">
        <f t="shared" si="15"/>
        <v>1761342.5322580645</v>
      </c>
      <c r="U35" s="4">
        <v>0</v>
      </c>
    </row>
    <row r="36" spans="2:21" ht="41.25" customHeight="1" thickBot="1">
      <c r="B36" s="346" t="s">
        <v>704</v>
      </c>
      <c r="C36" s="347"/>
      <c r="D36" s="347"/>
      <c r="E36" s="347"/>
      <c r="F36" s="347"/>
      <c r="G36" s="347"/>
      <c r="H36" s="347"/>
      <c r="I36" s="347"/>
      <c r="J36" s="347"/>
      <c r="K36" s="347"/>
      <c r="L36" s="347"/>
      <c r="M36" s="347"/>
      <c r="N36" s="347"/>
      <c r="O36" s="347"/>
      <c r="P36" s="347"/>
      <c r="Q36" s="347"/>
      <c r="R36" s="347"/>
      <c r="S36" s="347"/>
      <c r="T36" s="348"/>
    </row>
    <row r="37" spans="2:21" ht="37.799999999999997" customHeight="1" thickBot="1">
      <c r="B37" s="359" t="s">
        <v>402</v>
      </c>
      <c r="C37" s="349" t="s">
        <v>667</v>
      </c>
      <c r="D37" s="349"/>
      <c r="E37" s="349" t="s">
        <v>116</v>
      </c>
      <c r="F37" s="349"/>
      <c r="G37" s="338" t="s">
        <v>668</v>
      </c>
      <c r="H37" s="339"/>
      <c r="I37" s="340"/>
      <c r="J37" s="350" t="s">
        <v>502</v>
      </c>
      <c r="K37" s="351"/>
      <c r="L37" s="351"/>
      <c r="M37" s="351"/>
      <c r="N37" s="351"/>
      <c r="O37" s="351"/>
      <c r="P37" s="338" t="s">
        <v>131</v>
      </c>
      <c r="Q37" s="339"/>
      <c r="R37" s="340"/>
      <c r="S37" s="352" t="s">
        <v>669</v>
      </c>
      <c r="T37" s="341" t="s">
        <v>681</v>
      </c>
      <c r="U37" s="5"/>
    </row>
    <row r="38" spans="2:21" ht="37.799999999999997" customHeight="1" thickBot="1">
      <c r="B38" s="359"/>
      <c r="C38" s="360" t="s">
        <v>114</v>
      </c>
      <c r="D38" s="360" t="s">
        <v>670</v>
      </c>
      <c r="E38" s="349" t="s">
        <v>117</v>
      </c>
      <c r="F38" s="349" t="s">
        <v>671</v>
      </c>
      <c r="G38" s="356"/>
      <c r="H38" s="357"/>
      <c r="I38" s="358"/>
      <c r="J38" s="378" t="s">
        <v>672</v>
      </c>
      <c r="K38" s="379"/>
      <c r="L38" s="380"/>
      <c r="M38" s="350" t="s">
        <v>673</v>
      </c>
      <c r="N38" s="355"/>
      <c r="O38" s="355"/>
      <c r="P38" s="343" t="s">
        <v>134</v>
      </c>
      <c r="Q38" s="344"/>
      <c r="R38" s="345"/>
      <c r="S38" s="353"/>
      <c r="T38" s="342"/>
      <c r="U38" s="5"/>
    </row>
    <row r="39" spans="2:21" ht="60.6" customHeight="1" thickBot="1">
      <c r="B39" s="359"/>
      <c r="C39" s="361"/>
      <c r="D39" s="361"/>
      <c r="E39" s="349"/>
      <c r="F39" s="349"/>
      <c r="G39" s="256" t="s">
        <v>87</v>
      </c>
      <c r="H39" s="256" t="s">
        <v>88</v>
      </c>
      <c r="I39" s="255" t="s">
        <v>92</v>
      </c>
      <c r="J39" s="146" t="s">
        <v>87</v>
      </c>
      <c r="K39" s="146" t="s">
        <v>88</v>
      </c>
      <c r="L39" s="146" t="s">
        <v>89</v>
      </c>
      <c r="M39" s="174" t="s">
        <v>87</v>
      </c>
      <c r="N39" s="24" t="s">
        <v>88</v>
      </c>
      <c r="O39" s="25" t="s">
        <v>90</v>
      </c>
      <c r="P39" s="255" t="s">
        <v>87</v>
      </c>
      <c r="Q39" s="256" t="s">
        <v>88</v>
      </c>
      <c r="R39" s="257" t="s">
        <v>89</v>
      </c>
      <c r="S39" s="128"/>
      <c r="T39" s="129"/>
      <c r="U39" s="5"/>
    </row>
    <row r="40" spans="2:21" ht="57" customHeight="1">
      <c r="B40" s="269" t="s">
        <v>706</v>
      </c>
      <c r="C40" s="2" t="s">
        <v>168</v>
      </c>
      <c r="D40" s="270" t="s">
        <v>268</v>
      </c>
      <c r="E40" s="145">
        <v>2021</v>
      </c>
      <c r="F40" s="145">
        <v>2025</v>
      </c>
      <c r="G40" s="28">
        <f>'Kostimi i planit te veprimit'!Y201</f>
        <v>7026694.4000000004</v>
      </c>
      <c r="H40" s="28">
        <f>'Kostimi i planit te veprimit'!Z201</f>
        <v>0</v>
      </c>
      <c r="I40" s="158">
        <f>SUM(G40:H40)</f>
        <v>7026694.4000000004</v>
      </c>
      <c r="J40" s="29">
        <f>'Kostimi i planit te veprimit'!AB201</f>
        <v>639348</v>
      </c>
      <c r="K40" s="29">
        <f>'Kostimi i planit te veprimit'!AC201</f>
        <v>0</v>
      </c>
      <c r="L40" s="29">
        <f>SUM(J40:K40)</f>
        <v>639348</v>
      </c>
      <c r="M40" s="159">
        <f>'Kostimi i planit te veprimit'!AE201</f>
        <v>0</v>
      </c>
      <c r="N40" s="29">
        <f>'Kostimi i planit te veprimit'!AF201</f>
        <v>0</v>
      </c>
      <c r="O40" s="29">
        <f>SUM(M40:N40)</f>
        <v>0</v>
      </c>
      <c r="P40" s="28">
        <f>'Kostimi i planit te veprimit'!AI201</f>
        <v>867348</v>
      </c>
      <c r="Q40" s="28">
        <f>'Kostimi i planit te veprimit'!AJ201</f>
        <v>0</v>
      </c>
      <c r="R40" s="29">
        <f>SUM(P40:Q40)</f>
        <v>867348</v>
      </c>
      <c r="S40" s="144">
        <f>'Kostimi i planit te veprimit'!AL201</f>
        <v>-5519998.4000000004</v>
      </c>
      <c r="T40" s="259">
        <f>I40/124</f>
        <v>56666.89032258065</v>
      </c>
      <c r="U40" s="3" t="s">
        <v>74</v>
      </c>
    </row>
    <row r="41" spans="2:21" ht="63" customHeight="1">
      <c r="B41" s="269" t="s">
        <v>417</v>
      </c>
      <c r="C41" s="2" t="s">
        <v>168</v>
      </c>
      <c r="D41" s="270" t="s">
        <v>273</v>
      </c>
      <c r="E41" s="145">
        <v>2021</v>
      </c>
      <c r="F41" s="145">
        <v>2025</v>
      </c>
      <c r="G41" s="28">
        <f>'Kostimi i planit te veprimit'!Y211</f>
        <v>27661520</v>
      </c>
      <c r="H41" s="28">
        <f>'Kostimi i planit te veprimit'!Z211</f>
        <v>0</v>
      </c>
      <c r="I41" s="158">
        <f>SUM(G41:H41)</f>
        <v>27661520</v>
      </c>
      <c r="J41" s="28">
        <f>'Kostimi i planit te veprimit'!AB211</f>
        <v>22157248</v>
      </c>
      <c r="K41" s="28">
        <f>'Kostimi i planit te veprimit'!AC211</f>
        <v>0</v>
      </c>
      <c r="L41" s="29">
        <f t="shared" ref="L41:L42" si="16">SUM(J41:K41)</f>
        <v>22157248</v>
      </c>
      <c r="M41" s="138">
        <f>'Kostimi i planit te veprimit'!AE211</f>
        <v>0</v>
      </c>
      <c r="N41" s="28">
        <f>'Kostimi i planit te veprimit'!AF211</f>
        <v>0</v>
      </c>
      <c r="O41" s="29">
        <f t="shared" ref="O41:O42" si="17">SUM(M41:N41)</f>
        <v>0</v>
      </c>
      <c r="P41" s="28">
        <f>'Kostimi i planit te veprimit'!AI211</f>
        <v>710272</v>
      </c>
      <c r="Q41" s="28">
        <f>'Kostimi i planit te veprimit'!AJ211</f>
        <v>0</v>
      </c>
      <c r="R41" s="29">
        <f>SUM(P41:Q41)</f>
        <v>710272</v>
      </c>
      <c r="S41" s="144">
        <f>'Kostimi i planit te veprimit'!AL211</f>
        <v>-4794000</v>
      </c>
      <c r="T41" s="259">
        <f>I41/124</f>
        <v>223076.77419354839</v>
      </c>
      <c r="U41" s="3" t="s">
        <v>74</v>
      </c>
    </row>
    <row r="42" spans="2:21" ht="48" customHeight="1">
      <c r="B42" s="269" t="s">
        <v>418</v>
      </c>
      <c r="C42" s="2" t="s">
        <v>168</v>
      </c>
      <c r="D42" s="270" t="s">
        <v>707</v>
      </c>
      <c r="E42" s="145">
        <v>2021</v>
      </c>
      <c r="F42" s="145">
        <v>2025</v>
      </c>
      <c r="G42" s="28">
        <f>'Kostimi i planit te veprimit'!Y222</f>
        <v>84694272</v>
      </c>
      <c r="H42" s="28">
        <f>'Kostimi i planit te veprimit'!Z222</f>
        <v>0</v>
      </c>
      <c r="I42" s="158">
        <f>SUM(G42:H42)</f>
        <v>84694272</v>
      </c>
      <c r="J42" s="28">
        <f>'Kostimi i planit te veprimit'!AB222</f>
        <v>43345760</v>
      </c>
      <c r="K42" s="28">
        <f>'Kostimi i planit te veprimit'!AC222</f>
        <v>0</v>
      </c>
      <c r="L42" s="29">
        <f t="shared" si="16"/>
        <v>43345760</v>
      </c>
      <c r="M42" s="138">
        <f>'Kostimi i planit te veprimit'!AE222</f>
        <v>0</v>
      </c>
      <c r="N42" s="28">
        <f>'Kostimi i planit te veprimit'!AF222</f>
        <v>0</v>
      </c>
      <c r="O42" s="29">
        <f t="shared" si="17"/>
        <v>0</v>
      </c>
      <c r="P42" s="28">
        <f>'Kostimi i planit te veprimit'!AI222</f>
        <v>39771712</v>
      </c>
      <c r="Q42" s="28">
        <f>'Kostimi i planit te veprimit'!AJ222</f>
        <v>0</v>
      </c>
      <c r="R42" s="29">
        <f>SUM(P42:Q42)</f>
        <v>39771712</v>
      </c>
      <c r="S42" s="144">
        <f>'Kostimi i planit te veprimit'!AL222</f>
        <v>-1576800</v>
      </c>
      <c r="T42" s="259">
        <f>I42/124</f>
        <v>683018.32258064521</v>
      </c>
      <c r="U42" s="3" t="s">
        <v>74</v>
      </c>
    </row>
    <row r="43" spans="2:21" ht="34.200000000000003" customHeight="1" thickBot="1">
      <c r="B43" s="266" t="s">
        <v>764</v>
      </c>
      <c r="C43" s="267"/>
      <c r="D43" s="267"/>
      <c r="E43" s="267"/>
      <c r="F43" s="267"/>
      <c r="G43" s="252">
        <f t="shared" ref="G43:T43" si="18">SUM(G40:G42)</f>
        <v>119382486.40000001</v>
      </c>
      <c r="H43" s="252">
        <f t="shared" si="18"/>
        <v>0</v>
      </c>
      <c r="I43" s="252">
        <f t="shared" si="18"/>
        <v>119382486.40000001</v>
      </c>
      <c r="J43" s="252">
        <f t="shared" si="18"/>
        <v>66142356</v>
      </c>
      <c r="K43" s="252">
        <f t="shared" si="18"/>
        <v>0</v>
      </c>
      <c r="L43" s="252">
        <f t="shared" si="18"/>
        <v>66142356</v>
      </c>
      <c r="M43" s="252">
        <f t="shared" si="18"/>
        <v>0</v>
      </c>
      <c r="N43" s="252">
        <f t="shared" si="18"/>
        <v>0</v>
      </c>
      <c r="O43" s="252">
        <f t="shared" si="18"/>
        <v>0</v>
      </c>
      <c r="P43" s="252">
        <f>SUM(P40:P42)</f>
        <v>41349332</v>
      </c>
      <c r="Q43" s="252">
        <f t="shared" ref="Q43:R43" si="19">SUM(Q40:Q42)</f>
        <v>0</v>
      </c>
      <c r="R43" s="252">
        <f t="shared" si="19"/>
        <v>41349332</v>
      </c>
      <c r="S43" s="253">
        <f t="shared" si="18"/>
        <v>-11890798.4</v>
      </c>
      <c r="T43" s="271">
        <f t="shared" si="18"/>
        <v>962761.98709677428</v>
      </c>
      <c r="U43" s="4">
        <v>1500000</v>
      </c>
    </row>
    <row r="44" spans="2:21" ht="42" customHeight="1" thickBot="1">
      <c r="B44" s="370" t="s">
        <v>712</v>
      </c>
      <c r="C44" s="371"/>
      <c r="D44" s="371"/>
      <c r="E44" s="371"/>
      <c r="F44" s="371"/>
      <c r="G44" s="371"/>
      <c r="H44" s="371"/>
      <c r="I44" s="371"/>
      <c r="J44" s="371"/>
      <c r="K44" s="371"/>
      <c r="L44" s="371"/>
      <c r="M44" s="371"/>
      <c r="N44" s="371"/>
      <c r="O44" s="371"/>
      <c r="P44" s="371"/>
      <c r="Q44" s="371"/>
      <c r="R44" s="371"/>
      <c r="S44" s="371"/>
      <c r="T44" s="372"/>
    </row>
    <row r="45" spans="2:21" ht="37.799999999999997" customHeight="1" thickBot="1">
      <c r="B45" s="359" t="s">
        <v>402</v>
      </c>
      <c r="C45" s="349" t="s">
        <v>667</v>
      </c>
      <c r="D45" s="349"/>
      <c r="E45" s="349" t="s">
        <v>116</v>
      </c>
      <c r="F45" s="349"/>
      <c r="G45" s="338" t="s">
        <v>668</v>
      </c>
      <c r="H45" s="339"/>
      <c r="I45" s="340"/>
      <c r="J45" s="350" t="s">
        <v>502</v>
      </c>
      <c r="K45" s="351"/>
      <c r="L45" s="351"/>
      <c r="M45" s="351"/>
      <c r="N45" s="351"/>
      <c r="O45" s="351"/>
      <c r="P45" s="338" t="s">
        <v>131</v>
      </c>
      <c r="Q45" s="339"/>
      <c r="R45" s="340"/>
      <c r="S45" s="352" t="s">
        <v>669</v>
      </c>
      <c r="T45" s="341" t="s">
        <v>681</v>
      </c>
      <c r="U45" s="5"/>
    </row>
    <row r="46" spans="2:21" ht="37.799999999999997" customHeight="1" thickBot="1">
      <c r="B46" s="359"/>
      <c r="C46" s="360" t="s">
        <v>114</v>
      </c>
      <c r="D46" s="360" t="s">
        <v>670</v>
      </c>
      <c r="E46" s="349" t="s">
        <v>117</v>
      </c>
      <c r="F46" s="349" t="s">
        <v>671</v>
      </c>
      <c r="G46" s="356"/>
      <c r="H46" s="357"/>
      <c r="I46" s="358"/>
      <c r="J46" s="350" t="s">
        <v>672</v>
      </c>
      <c r="K46" s="351"/>
      <c r="L46" s="354"/>
      <c r="M46" s="350" t="s">
        <v>673</v>
      </c>
      <c r="N46" s="355"/>
      <c r="O46" s="355"/>
      <c r="P46" s="343" t="s">
        <v>134</v>
      </c>
      <c r="Q46" s="344"/>
      <c r="R46" s="345"/>
      <c r="S46" s="353"/>
      <c r="T46" s="342"/>
      <c r="U46" s="5"/>
    </row>
    <row r="47" spans="2:21" ht="60.6" customHeight="1" thickBot="1">
      <c r="B47" s="359"/>
      <c r="C47" s="361"/>
      <c r="D47" s="361"/>
      <c r="E47" s="349"/>
      <c r="F47" s="349"/>
      <c r="G47" s="256" t="s">
        <v>87</v>
      </c>
      <c r="H47" s="256" t="s">
        <v>88</v>
      </c>
      <c r="I47" s="256" t="s">
        <v>92</v>
      </c>
      <c r="J47" s="166" t="s">
        <v>87</v>
      </c>
      <c r="K47" s="128" t="s">
        <v>88</v>
      </c>
      <c r="L47" s="167" t="s">
        <v>89</v>
      </c>
      <c r="M47" s="173" t="s">
        <v>87</v>
      </c>
      <c r="N47" s="24" t="s">
        <v>88</v>
      </c>
      <c r="O47" s="25" t="s">
        <v>90</v>
      </c>
      <c r="P47" s="255" t="s">
        <v>87</v>
      </c>
      <c r="Q47" s="256" t="s">
        <v>88</v>
      </c>
      <c r="R47" s="257" t="s">
        <v>89</v>
      </c>
      <c r="S47" s="128"/>
      <c r="T47" s="129"/>
      <c r="U47" s="5"/>
    </row>
    <row r="48" spans="2:21" ht="48" customHeight="1">
      <c r="B48" s="269" t="s">
        <v>414</v>
      </c>
      <c r="C48" s="2" t="s">
        <v>168</v>
      </c>
      <c r="D48" s="270"/>
      <c r="E48" s="145">
        <v>2021</v>
      </c>
      <c r="F48" s="145">
        <v>2025</v>
      </c>
      <c r="G48" s="28">
        <f>'Kostimi i planit te veprimit'!Y238</f>
        <v>21506552</v>
      </c>
      <c r="H48" s="28">
        <f>'Kostimi i planit te veprimit'!Z238</f>
        <v>11500000</v>
      </c>
      <c r="I48" s="27">
        <f t="shared" ref="I48:I49" si="20">SUM(G48:H48)</f>
        <v>33006552</v>
      </c>
      <c r="J48" s="26">
        <f>'Kostimi i planit te veprimit'!AB238</f>
        <v>7963680</v>
      </c>
      <c r="K48" s="26">
        <f>'Kostimi i planit te veprimit'!AC238</f>
        <v>0</v>
      </c>
      <c r="L48" s="27">
        <f>SUM(J48:K48)</f>
        <v>7963680</v>
      </c>
      <c r="M48" s="26">
        <f>'Kostimi i planit te veprimit'!AE238</f>
        <v>0</v>
      </c>
      <c r="N48" s="26">
        <f>'Kostimi i planit te veprimit'!AF238</f>
        <v>0</v>
      </c>
      <c r="O48" s="27">
        <f>SUM(M48:N48)</f>
        <v>0</v>
      </c>
      <c r="P48" s="28">
        <f>'Kostimi i planit te veprimit'!AI238</f>
        <v>10080392</v>
      </c>
      <c r="Q48" s="28">
        <f>'Kostimi i planit te veprimit'!AJ238</f>
        <v>11500000</v>
      </c>
      <c r="R48" s="27">
        <f>SUM(P48:Q48)</f>
        <v>21580392</v>
      </c>
      <c r="S48" s="155">
        <f>'Kostimi i planit te veprimit'!AL238</f>
        <v>-3462480</v>
      </c>
      <c r="T48" s="259">
        <f t="shared" ref="T48:T49" si="21">I48/124</f>
        <v>266181.87096774194</v>
      </c>
      <c r="U48" s="3" t="s">
        <v>74</v>
      </c>
    </row>
    <row r="49" spans="2:21" ht="63.6" customHeight="1">
      <c r="B49" s="269" t="s">
        <v>413</v>
      </c>
      <c r="C49" s="2" t="s">
        <v>168</v>
      </c>
      <c r="D49" s="270"/>
      <c r="E49" s="145">
        <v>2021</v>
      </c>
      <c r="F49" s="145">
        <v>2025</v>
      </c>
      <c r="G49" s="28">
        <f>'Kostimi i planit te veprimit'!Y254</f>
        <v>167745536</v>
      </c>
      <c r="H49" s="28">
        <f>'Kostimi i planit te veprimit'!Z254</f>
        <v>158700000</v>
      </c>
      <c r="I49" s="27">
        <f t="shared" si="20"/>
        <v>326445536</v>
      </c>
      <c r="J49" s="28">
        <f>'Kostimi i planit te veprimit'!AB254</f>
        <v>956864</v>
      </c>
      <c r="K49" s="28">
        <f>'Kostimi i planit te veprimit'!AC254</f>
        <v>34500000</v>
      </c>
      <c r="L49" s="28">
        <f>'Kostimi i planit te veprimit'!AD254</f>
        <v>35456864</v>
      </c>
      <c r="M49" s="28">
        <f>'Kostimi i planit te veprimit'!AE254</f>
        <v>0</v>
      </c>
      <c r="N49" s="28">
        <f>'Kostimi i planit te veprimit'!AF254</f>
        <v>0</v>
      </c>
      <c r="O49" s="27">
        <f>SUM(M49:N49)</f>
        <v>0</v>
      </c>
      <c r="P49" s="28">
        <f>'Kostimi i planit te veprimit'!AI254</f>
        <v>101611872</v>
      </c>
      <c r="Q49" s="28">
        <f>'Kostimi i planit te veprimit'!AJ254</f>
        <v>89700000</v>
      </c>
      <c r="R49" s="27">
        <f>SUM(P49:Q49)</f>
        <v>191311872</v>
      </c>
      <c r="S49" s="144">
        <f>'Kostimi i planit te veprimit'!AL254</f>
        <v>-99676800</v>
      </c>
      <c r="T49" s="259">
        <f t="shared" si="21"/>
        <v>2632625.2903225808</v>
      </c>
      <c r="U49" s="3" t="s">
        <v>74</v>
      </c>
    </row>
    <row r="50" spans="2:21" ht="43.2" customHeight="1" thickBot="1">
      <c r="B50" s="266" t="s">
        <v>765</v>
      </c>
      <c r="C50" s="267"/>
      <c r="D50" s="267"/>
      <c r="E50" s="267"/>
      <c r="F50" s="267"/>
      <c r="G50" s="252">
        <f t="shared" ref="G50:T50" si="22">SUM(G48:G49)</f>
        <v>189252088</v>
      </c>
      <c r="H50" s="252">
        <f t="shared" si="22"/>
        <v>170200000</v>
      </c>
      <c r="I50" s="252">
        <f t="shared" si="22"/>
        <v>359452088</v>
      </c>
      <c r="J50" s="252">
        <f t="shared" si="22"/>
        <v>8920544</v>
      </c>
      <c r="K50" s="252">
        <f t="shared" si="22"/>
        <v>34500000</v>
      </c>
      <c r="L50" s="252">
        <f t="shared" si="22"/>
        <v>43420544</v>
      </c>
      <c r="M50" s="252">
        <f t="shared" si="22"/>
        <v>0</v>
      </c>
      <c r="N50" s="252">
        <f t="shared" si="22"/>
        <v>0</v>
      </c>
      <c r="O50" s="252">
        <f t="shared" si="22"/>
        <v>0</v>
      </c>
      <c r="P50" s="252">
        <f t="shared" si="22"/>
        <v>111692264</v>
      </c>
      <c r="Q50" s="252">
        <f t="shared" si="22"/>
        <v>101200000</v>
      </c>
      <c r="R50" s="252">
        <f t="shared" si="22"/>
        <v>212892264</v>
      </c>
      <c r="S50" s="253">
        <f t="shared" si="22"/>
        <v>-103139280</v>
      </c>
      <c r="T50" s="271">
        <f t="shared" si="22"/>
        <v>2898807.1612903229</v>
      </c>
      <c r="U50" s="4">
        <v>50000</v>
      </c>
    </row>
    <row r="51" spans="2:21" ht="36" customHeight="1" thickBot="1">
      <c r="B51" s="382" t="s">
        <v>716</v>
      </c>
      <c r="C51" s="383"/>
      <c r="D51" s="383"/>
      <c r="E51" s="383"/>
      <c r="F51" s="383"/>
      <c r="G51" s="383"/>
      <c r="H51" s="383"/>
      <c r="I51" s="383"/>
      <c r="J51" s="383"/>
      <c r="K51" s="383"/>
      <c r="L51" s="383"/>
      <c r="M51" s="383"/>
      <c r="N51" s="383"/>
      <c r="O51" s="383"/>
      <c r="P51" s="383"/>
      <c r="Q51" s="383"/>
      <c r="R51" s="383"/>
      <c r="S51" s="383"/>
      <c r="T51" s="384"/>
    </row>
    <row r="52" spans="2:21" ht="37.799999999999997" customHeight="1" thickBot="1">
      <c r="B52" s="359" t="s">
        <v>402</v>
      </c>
      <c r="C52" s="349" t="s">
        <v>667</v>
      </c>
      <c r="D52" s="349"/>
      <c r="E52" s="349" t="s">
        <v>116</v>
      </c>
      <c r="F52" s="349"/>
      <c r="G52" s="338" t="s">
        <v>668</v>
      </c>
      <c r="H52" s="339"/>
      <c r="I52" s="340"/>
      <c r="J52" s="350" t="s">
        <v>502</v>
      </c>
      <c r="K52" s="351"/>
      <c r="L52" s="351"/>
      <c r="M52" s="351"/>
      <c r="N52" s="351"/>
      <c r="O52" s="351"/>
      <c r="P52" s="338" t="s">
        <v>131</v>
      </c>
      <c r="Q52" s="339"/>
      <c r="R52" s="340"/>
      <c r="S52" s="352" t="s">
        <v>669</v>
      </c>
      <c r="T52" s="341" t="s">
        <v>681</v>
      </c>
      <c r="U52" s="5"/>
    </row>
    <row r="53" spans="2:21" ht="37.799999999999997" customHeight="1" thickBot="1">
      <c r="B53" s="359"/>
      <c r="C53" s="360" t="s">
        <v>114</v>
      </c>
      <c r="D53" s="360" t="s">
        <v>670</v>
      </c>
      <c r="E53" s="349" t="s">
        <v>117</v>
      </c>
      <c r="F53" s="349" t="s">
        <v>671</v>
      </c>
      <c r="G53" s="356"/>
      <c r="H53" s="357"/>
      <c r="I53" s="358"/>
      <c r="J53" s="350" t="s">
        <v>672</v>
      </c>
      <c r="K53" s="351"/>
      <c r="L53" s="354"/>
      <c r="M53" s="350" t="s">
        <v>673</v>
      </c>
      <c r="N53" s="355"/>
      <c r="O53" s="355"/>
      <c r="P53" s="343" t="s">
        <v>134</v>
      </c>
      <c r="Q53" s="344"/>
      <c r="R53" s="345"/>
      <c r="S53" s="353"/>
      <c r="T53" s="342"/>
      <c r="U53" s="5"/>
    </row>
    <row r="54" spans="2:21" ht="60.6" customHeight="1" thickBot="1">
      <c r="B54" s="359"/>
      <c r="C54" s="361"/>
      <c r="D54" s="361"/>
      <c r="E54" s="349"/>
      <c r="F54" s="349"/>
      <c r="G54" s="256" t="s">
        <v>87</v>
      </c>
      <c r="H54" s="256" t="s">
        <v>88</v>
      </c>
      <c r="I54" s="256" t="s">
        <v>92</v>
      </c>
      <c r="J54" s="166" t="s">
        <v>87</v>
      </c>
      <c r="K54" s="128" t="s">
        <v>88</v>
      </c>
      <c r="L54" s="167" t="s">
        <v>89</v>
      </c>
      <c r="M54" s="173" t="s">
        <v>87</v>
      </c>
      <c r="N54" s="24" t="s">
        <v>88</v>
      </c>
      <c r="O54" s="25" t="s">
        <v>90</v>
      </c>
      <c r="P54" s="255" t="s">
        <v>87</v>
      </c>
      <c r="Q54" s="256" t="s">
        <v>88</v>
      </c>
      <c r="R54" s="257" t="s">
        <v>89</v>
      </c>
      <c r="S54" s="128"/>
      <c r="T54" s="129"/>
      <c r="U54" s="5"/>
    </row>
    <row r="55" spans="2:21" ht="74.400000000000006" customHeight="1">
      <c r="B55" s="272" t="s">
        <v>412</v>
      </c>
      <c r="C55" s="2" t="s">
        <v>208</v>
      </c>
      <c r="D55" s="270" t="s">
        <v>730</v>
      </c>
      <c r="E55" s="145">
        <v>2021</v>
      </c>
      <c r="F55" s="145">
        <v>2025</v>
      </c>
      <c r="G55" s="28">
        <f>'Kostimi i planit te veprimit'!Y271</f>
        <v>23037620</v>
      </c>
      <c r="H55" s="28">
        <f>'Kostimi i planit te veprimit'!Z271</f>
        <v>0</v>
      </c>
      <c r="I55" s="29">
        <f>SUM(G55:H55)</f>
        <v>23037620</v>
      </c>
      <c r="J55" s="28">
        <f>'Kostimi i planit te veprimit'!AB271</f>
        <v>13060590</v>
      </c>
      <c r="K55" s="28">
        <f>'Kostimi i planit te veprimit'!AC271</f>
        <v>0</v>
      </c>
      <c r="L55" s="29">
        <f>SUM(J55:K55)</f>
        <v>13060590</v>
      </c>
      <c r="M55" s="28">
        <f>'Kostimi i planit te veprimit'!AE271</f>
        <v>0</v>
      </c>
      <c r="N55" s="28">
        <f>'Kostimi i planit te veprimit'!AF271</f>
        <v>0</v>
      </c>
      <c r="O55" s="29">
        <f>SUM(M55:N55)</f>
        <v>0</v>
      </c>
      <c r="P55" s="28">
        <f>'Kostimi i planit te veprimit'!AI271</f>
        <v>7466630</v>
      </c>
      <c r="Q55" s="28">
        <f>'Kostimi i planit te veprimit'!AJ271</f>
        <v>0</v>
      </c>
      <c r="R55" s="29">
        <f>SUM(P55:Q55)</f>
        <v>7466630</v>
      </c>
      <c r="S55" s="273">
        <f>'Kostimi i planit te veprimit'!AL271</f>
        <v>-2510400</v>
      </c>
      <c r="T55" s="274">
        <f>I55/124</f>
        <v>185787.25806451612</v>
      </c>
      <c r="U55" s="3" t="s">
        <v>74</v>
      </c>
    </row>
    <row r="56" spans="2:21" ht="64.2" customHeight="1">
      <c r="B56" s="272" t="s">
        <v>411</v>
      </c>
      <c r="C56" s="2" t="s">
        <v>222</v>
      </c>
      <c r="D56" s="270" t="s">
        <v>729</v>
      </c>
      <c r="E56" s="145">
        <v>2021</v>
      </c>
      <c r="F56" s="145">
        <v>2025</v>
      </c>
      <c r="G56" s="28">
        <f>'Kostimi i planit te veprimit'!Y280</f>
        <v>10287648</v>
      </c>
      <c r="H56" s="28">
        <f>'Kostimi i planit te veprimit'!Z280</f>
        <v>0</v>
      </c>
      <c r="I56" s="29">
        <f t="shared" ref="I56:I57" si="23">SUM(G56:H56)</f>
        <v>10287648</v>
      </c>
      <c r="J56" s="26">
        <f>'Kostimi i planit te veprimit'!AB280</f>
        <v>6610912</v>
      </c>
      <c r="K56" s="26">
        <f>'Kostimi i planit te veprimit'!AC280</f>
        <v>0</v>
      </c>
      <c r="L56" s="29">
        <f t="shared" ref="L56:L57" si="24">SUM(J56:K56)</f>
        <v>6610912</v>
      </c>
      <c r="M56" s="26">
        <f>'Kostimi i planit te veprimit'!AE280</f>
        <v>0</v>
      </c>
      <c r="N56" s="26">
        <f>'Kostimi i planit te veprimit'!AF280</f>
        <v>0</v>
      </c>
      <c r="O56" s="29">
        <f t="shared" ref="O56:O57" si="25">SUM(M56:N56)</f>
        <v>0</v>
      </c>
      <c r="P56" s="28">
        <f>'Kostimi i planit te veprimit'!AI280</f>
        <v>3676736</v>
      </c>
      <c r="Q56" s="28">
        <f>'Kostimi i planit te veprimit'!AJ280</f>
        <v>0</v>
      </c>
      <c r="R56" s="29">
        <f t="shared" ref="R56:R57" si="26">SUM(P56:Q56)</f>
        <v>3676736</v>
      </c>
      <c r="S56" s="273">
        <f>'Kostimi i planit te veprimit'!AL280</f>
        <v>0</v>
      </c>
      <c r="T56" s="274">
        <f>I56/124</f>
        <v>82964.903225806454</v>
      </c>
      <c r="U56" s="3" t="s">
        <v>74</v>
      </c>
    </row>
    <row r="57" spans="2:21" ht="64.2" customHeight="1">
      <c r="B57" s="272" t="s">
        <v>410</v>
      </c>
      <c r="C57" s="270" t="s">
        <v>195</v>
      </c>
      <c r="D57" s="270" t="s">
        <v>193</v>
      </c>
      <c r="E57" s="145">
        <v>2021</v>
      </c>
      <c r="F57" s="145">
        <v>2025</v>
      </c>
      <c r="G57" s="28">
        <f>'Kostimi i planit te veprimit'!Y291</f>
        <v>50541600</v>
      </c>
      <c r="H57" s="28">
        <f>'Kostimi i planit te veprimit'!Z291</f>
        <v>0</v>
      </c>
      <c r="I57" s="29">
        <f t="shared" si="23"/>
        <v>50541600</v>
      </c>
      <c r="J57" s="28">
        <f>'Kostimi i planit te veprimit'!AB291</f>
        <v>5232600</v>
      </c>
      <c r="K57" s="28">
        <f>'Kostimi i planit te veprimit'!AC291</f>
        <v>0</v>
      </c>
      <c r="L57" s="29">
        <f t="shared" si="24"/>
        <v>5232600</v>
      </c>
      <c r="M57" s="28">
        <f>'Kostimi i planit te veprimit'!AE291</f>
        <v>5197400</v>
      </c>
      <c r="N57" s="28">
        <f>'Kostimi i planit te veprimit'!AF291</f>
        <v>0</v>
      </c>
      <c r="O57" s="29">
        <f t="shared" si="25"/>
        <v>5197400</v>
      </c>
      <c r="P57" s="28">
        <f>'Kostimi i planit te veprimit'!AI291</f>
        <v>11167600</v>
      </c>
      <c r="Q57" s="28">
        <f>'Kostimi i planit te veprimit'!AJ291</f>
        <v>0</v>
      </c>
      <c r="R57" s="29">
        <f t="shared" si="26"/>
        <v>11167600</v>
      </c>
      <c r="S57" s="144">
        <f>'Kostimi i planit te veprimit'!AL291</f>
        <v>-28944000</v>
      </c>
      <c r="T57" s="274">
        <f>I57/124</f>
        <v>407593.54838709679</v>
      </c>
      <c r="U57" s="3" t="s">
        <v>74</v>
      </c>
    </row>
    <row r="58" spans="2:21" ht="48.6" customHeight="1">
      <c r="B58" s="275" t="s">
        <v>766</v>
      </c>
      <c r="C58" s="276"/>
      <c r="D58" s="276"/>
      <c r="E58" s="276"/>
      <c r="F58" s="276"/>
      <c r="G58" s="277">
        <f t="shared" ref="G58:T58" si="27">SUM(G55:G57)</f>
        <v>83866868</v>
      </c>
      <c r="H58" s="277">
        <f t="shared" si="27"/>
        <v>0</v>
      </c>
      <c r="I58" s="277">
        <f t="shared" si="27"/>
        <v>83866868</v>
      </c>
      <c r="J58" s="277">
        <f t="shared" si="27"/>
        <v>24904102</v>
      </c>
      <c r="K58" s="277">
        <f t="shared" si="27"/>
        <v>0</v>
      </c>
      <c r="L58" s="277">
        <f t="shared" si="27"/>
        <v>24904102</v>
      </c>
      <c r="M58" s="277">
        <f t="shared" si="27"/>
        <v>5197400</v>
      </c>
      <c r="N58" s="277">
        <f t="shared" si="27"/>
        <v>0</v>
      </c>
      <c r="O58" s="277">
        <f t="shared" si="27"/>
        <v>5197400</v>
      </c>
      <c r="P58" s="277">
        <f t="shared" si="27"/>
        <v>22310966</v>
      </c>
      <c r="Q58" s="277">
        <f t="shared" si="27"/>
        <v>0</v>
      </c>
      <c r="R58" s="277">
        <f t="shared" si="27"/>
        <v>22310966</v>
      </c>
      <c r="S58" s="278">
        <f t="shared" si="27"/>
        <v>-31454400</v>
      </c>
      <c r="T58" s="277">
        <f t="shared" si="27"/>
        <v>676345.70967741939</v>
      </c>
      <c r="U58" s="4">
        <v>2500000</v>
      </c>
    </row>
    <row r="59" spans="2:21" ht="55.8" customHeight="1">
      <c r="B59" s="388" t="s">
        <v>739</v>
      </c>
      <c r="C59" s="389"/>
      <c r="D59" s="389"/>
      <c r="E59" s="389"/>
      <c r="F59" s="389"/>
      <c r="G59" s="389"/>
      <c r="H59" s="389"/>
      <c r="I59" s="389"/>
      <c r="J59" s="389"/>
      <c r="K59" s="389"/>
      <c r="L59" s="389"/>
      <c r="M59" s="389"/>
      <c r="N59" s="389"/>
      <c r="O59" s="389"/>
      <c r="P59" s="389"/>
      <c r="Q59" s="389"/>
      <c r="R59" s="389"/>
      <c r="S59" s="389"/>
      <c r="T59" s="390"/>
      <c r="U59" s="4"/>
    </row>
    <row r="60" spans="2:21" ht="37.799999999999997" customHeight="1" thickBot="1">
      <c r="B60" s="381" t="s">
        <v>402</v>
      </c>
      <c r="C60" s="391" t="s">
        <v>667</v>
      </c>
      <c r="D60" s="391"/>
      <c r="E60" s="391" t="s">
        <v>116</v>
      </c>
      <c r="F60" s="391"/>
      <c r="G60" s="362" t="s">
        <v>668</v>
      </c>
      <c r="H60" s="363"/>
      <c r="I60" s="364"/>
      <c r="J60" s="392" t="s">
        <v>502</v>
      </c>
      <c r="K60" s="393"/>
      <c r="L60" s="393"/>
      <c r="M60" s="393"/>
      <c r="N60" s="393"/>
      <c r="O60" s="393"/>
      <c r="P60" s="362" t="s">
        <v>131</v>
      </c>
      <c r="Q60" s="363"/>
      <c r="R60" s="364"/>
      <c r="S60" s="394" t="s">
        <v>669</v>
      </c>
      <c r="T60" s="342" t="s">
        <v>681</v>
      </c>
      <c r="U60" s="5"/>
    </row>
    <row r="61" spans="2:21" ht="37.799999999999997" customHeight="1" thickBot="1">
      <c r="B61" s="359"/>
      <c r="C61" s="360" t="s">
        <v>114</v>
      </c>
      <c r="D61" s="360" t="s">
        <v>670</v>
      </c>
      <c r="E61" s="349" t="s">
        <v>117</v>
      </c>
      <c r="F61" s="349" t="s">
        <v>671</v>
      </c>
      <c r="G61" s="356"/>
      <c r="H61" s="357"/>
      <c r="I61" s="358"/>
      <c r="J61" s="350" t="s">
        <v>672</v>
      </c>
      <c r="K61" s="351"/>
      <c r="L61" s="354"/>
      <c r="M61" s="350" t="s">
        <v>673</v>
      </c>
      <c r="N61" s="355"/>
      <c r="O61" s="355"/>
      <c r="P61" s="343" t="s">
        <v>134</v>
      </c>
      <c r="Q61" s="344"/>
      <c r="R61" s="345"/>
      <c r="S61" s="353"/>
      <c r="T61" s="342"/>
      <c r="U61" s="5"/>
    </row>
    <row r="62" spans="2:21" ht="60.6" customHeight="1" thickBot="1">
      <c r="B62" s="359"/>
      <c r="C62" s="361"/>
      <c r="D62" s="361"/>
      <c r="E62" s="349"/>
      <c r="F62" s="349"/>
      <c r="G62" s="256" t="s">
        <v>87</v>
      </c>
      <c r="H62" s="256" t="s">
        <v>88</v>
      </c>
      <c r="I62" s="256" t="s">
        <v>92</v>
      </c>
      <c r="J62" s="166" t="s">
        <v>87</v>
      </c>
      <c r="K62" s="128" t="s">
        <v>88</v>
      </c>
      <c r="L62" s="167" t="s">
        <v>89</v>
      </c>
      <c r="M62" s="173" t="s">
        <v>87</v>
      </c>
      <c r="N62" s="24" t="s">
        <v>88</v>
      </c>
      <c r="O62" s="25" t="s">
        <v>90</v>
      </c>
      <c r="P62" s="255" t="s">
        <v>87</v>
      </c>
      <c r="Q62" s="256" t="s">
        <v>88</v>
      </c>
      <c r="R62" s="257" t="s">
        <v>89</v>
      </c>
      <c r="S62" s="128"/>
      <c r="T62" s="129"/>
      <c r="U62" s="5"/>
    </row>
    <row r="63" spans="2:21" ht="66" customHeight="1">
      <c r="B63" s="272" t="s">
        <v>408</v>
      </c>
      <c r="C63" s="2" t="s">
        <v>168</v>
      </c>
      <c r="D63" s="270" t="s">
        <v>189</v>
      </c>
      <c r="E63" s="145">
        <v>2021</v>
      </c>
      <c r="F63" s="145">
        <v>2025</v>
      </c>
      <c r="G63" s="28">
        <f>'Kostimi i planit te veprimit'!Y305</f>
        <v>6564432</v>
      </c>
      <c r="H63" s="28">
        <f>'Kostimi i planit te veprimit'!Z305</f>
        <v>0</v>
      </c>
      <c r="I63" s="29">
        <f>SUM(G63:H63)</f>
        <v>6564432</v>
      </c>
      <c r="J63" s="28">
        <f>'Kostimi i planit te veprimit'!AB305</f>
        <v>2569536</v>
      </c>
      <c r="K63" s="28">
        <f>'Kostimi i planit te veprimit'!AC305</f>
        <v>0</v>
      </c>
      <c r="L63" s="28">
        <f>SUM(J63:K63)</f>
        <v>2569536</v>
      </c>
      <c r="M63" s="28">
        <f>'Kostimi i planit te veprimit'!AE305</f>
        <v>0</v>
      </c>
      <c r="N63" s="28">
        <f>'Kostimi i planit te veprimit'!AF305</f>
        <v>0</v>
      </c>
      <c r="O63" s="29">
        <f>SUM(M63:N63)</f>
        <v>0</v>
      </c>
      <c r="P63" s="28">
        <f>'Kostimi i planit te veprimit'!AI305</f>
        <v>1550496</v>
      </c>
      <c r="Q63" s="28">
        <f>'Kostimi i planit te veprimit'!AJ305</f>
        <v>0</v>
      </c>
      <c r="R63" s="29">
        <f>SUM(P63:Q63)</f>
        <v>1550496</v>
      </c>
      <c r="S63" s="273">
        <f>'Kostimi i planit te veprimit'!AL305</f>
        <v>-2444400</v>
      </c>
      <c r="T63" s="274">
        <f>I63/124</f>
        <v>52938.967741935485</v>
      </c>
      <c r="U63" s="4"/>
    </row>
    <row r="64" spans="2:21" ht="62.4">
      <c r="B64" s="272" t="s">
        <v>407</v>
      </c>
      <c r="C64" s="2" t="s">
        <v>168</v>
      </c>
      <c r="D64" s="2"/>
      <c r="E64" s="145">
        <v>2021</v>
      </c>
      <c r="F64" s="145">
        <v>2025</v>
      </c>
      <c r="G64" s="28">
        <f>'Kostimi i planit te veprimit'!Y316</f>
        <v>17239320</v>
      </c>
      <c r="H64" s="28">
        <f>'Kostimi i planit te veprimit'!Z316</f>
        <v>0</v>
      </c>
      <c r="I64" s="29">
        <f t="shared" ref="I64:I66" si="28">SUM(G64:H64)</f>
        <v>17239320</v>
      </c>
      <c r="J64" s="26">
        <f>'Kostimi i planit te veprimit'!AB316</f>
        <v>9401920</v>
      </c>
      <c r="K64" s="26">
        <f>'Kostimi i planit te veprimit'!AC316</f>
        <v>0</v>
      </c>
      <c r="L64" s="28">
        <f t="shared" ref="L64:L66" si="29">SUM(J64:K64)</f>
        <v>9401920</v>
      </c>
      <c r="M64" s="28">
        <f>'Kostimi i planit te veprimit'!AE316</f>
        <v>0</v>
      </c>
      <c r="N64" s="28">
        <f>'Kostimi i planit te veprimit'!AF316</f>
        <v>0</v>
      </c>
      <c r="O64" s="29">
        <f t="shared" ref="O64:O66" si="30">SUM(M64:N64)</f>
        <v>0</v>
      </c>
      <c r="P64" s="28">
        <f>'Kostimi i planit te veprimit'!AI316</f>
        <v>4209400</v>
      </c>
      <c r="Q64" s="28">
        <f>'Kostimi i planit te veprimit'!AJ316</f>
        <v>0</v>
      </c>
      <c r="R64" s="29">
        <f t="shared" ref="R64:R66" si="31">SUM(P64:Q64)</f>
        <v>4209400</v>
      </c>
      <c r="S64" s="273">
        <f>'Kostimi i planit te veprimit'!AL316</f>
        <v>-3628000</v>
      </c>
      <c r="T64" s="274">
        <f>I64/124</f>
        <v>139026.77419354839</v>
      </c>
      <c r="U64" s="4"/>
    </row>
    <row r="65" spans="2:21" ht="46.8">
      <c r="B65" s="272" t="s">
        <v>406</v>
      </c>
      <c r="C65" s="2" t="s">
        <v>168</v>
      </c>
      <c r="D65" s="270" t="s">
        <v>169</v>
      </c>
      <c r="E65" s="145">
        <v>2022</v>
      </c>
      <c r="F65" s="175">
        <v>2022</v>
      </c>
      <c r="G65" s="28">
        <f>'Kostimi i planit te veprimit'!Y321</f>
        <v>3123520</v>
      </c>
      <c r="H65" s="28">
        <f>'Kostimi i planit te veprimit'!Z321</f>
        <v>0</v>
      </c>
      <c r="I65" s="29">
        <f t="shared" si="28"/>
        <v>3123520</v>
      </c>
      <c r="J65" s="28">
        <f>'Kostimi i planit te veprimit'!AB321</f>
        <v>2240320</v>
      </c>
      <c r="K65" s="28">
        <f>'Kostimi i planit te veprimit'!AC321</f>
        <v>0</v>
      </c>
      <c r="L65" s="28">
        <f t="shared" si="29"/>
        <v>2240320</v>
      </c>
      <c r="M65" s="28">
        <f>'Kostimi i planit te veprimit'!AE321</f>
        <v>0</v>
      </c>
      <c r="N65" s="28">
        <f>'Kostimi i planit te veprimit'!AF321</f>
        <v>0</v>
      </c>
      <c r="O65" s="29">
        <f t="shared" si="30"/>
        <v>0</v>
      </c>
      <c r="P65" s="28">
        <f>'Kostimi i planit te veprimit'!AI321</f>
        <v>0</v>
      </c>
      <c r="Q65" s="28">
        <f>'Kostimi i planit te veprimit'!AJ321</f>
        <v>0</v>
      </c>
      <c r="R65" s="29">
        <f t="shared" si="31"/>
        <v>0</v>
      </c>
      <c r="S65" s="144">
        <f>'Kostimi i planit te veprimit'!AL321</f>
        <v>-883200</v>
      </c>
      <c r="T65" s="274">
        <f>I65/124</f>
        <v>25189.677419354837</v>
      </c>
      <c r="U65" s="4"/>
    </row>
    <row r="66" spans="2:21" ht="63.6" customHeight="1">
      <c r="B66" s="272" t="s">
        <v>405</v>
      </c>
      <c r="C66" s="2" t="s">
        <v>168</v>
      </c>
      <c r="D66" s="2"/>
      <c r="E66" s="145">
        <v>2023</v>
      </c>
      <c r="F66" s="175">
        <v>2023</v>
      </c>
      <c r="G66" s="28">
        <f>'Kostimi i planit te veprimit'!Y327</f>
        <v>19536000</v>
      </c>
      <c r="H66" s="28">
        <f>'Kostimi i planit te veprimit'!Z327</f>
        <v>0</v>
      </c>
      <c r="I66" s="29">
        <f t="shared" si="28"/>
        <v>19536000</v>
      </c>
      <c r="J66" s="28">
        <f>'Kostimi i planit te veprimit'!AB327</f>
        <v>7776000</v>
      </c>
      <c r="K66" s="28">
        <f>'Kostimi i planit te veprimit'!AC327</f>
        <v>0</v>
      </c>
      <c r="L66" s="28">
        <f t="shared" si="29"/>
        <v>7776000</v>
      </c>
      <c r="M66" s="28">
        <f>'Kostimi i planit te veprimit'!AE327</f>
        <v>0</v>
      </c>
      <c r="N66" s="28">
        <f>'Kostimi i planit te veprimit'!AF327</f>
        <v>0</v>
      </c>
      <c r="O66" s="29">
        <f t="shared" si="30"/>
        <v>0</v>
      </c>
      <c r="P66" s="28">
        <f>'Kostimi i planit te veprimit'!AI327</f>
        <v>2016000</v>
      </c>
      <c r="Q66" s="28">
        <f>'Kostimi i planit te veprimit'!AJ327</f>
        <v>0</v>
      </c>
      <c r="R66" s="29">
        <f t="shared" si="31"/>
        <v>2016000</v>
      </c>
      <c r="S66" s="144">
        <f>'Kostimi i planit te veprimit'!AL327</f>
        <v>-9744000</v>
      </c>
      <c r="T66" s="274">
        <f>I66/124</f>
        <v>157548.38709677418</v>
      </c>
      <c r="U66" s="4"/>
    </row>
    <row r="67" spans="2:21" ht="42.6" customHeight="1">
      <c r="B67" s="279" t="s">
        <v>767</v>
      </c>
      <c r="C67" s="276"/>
      <c r="D67" s="276"/>
      <c r="E67" s="276"/>
      <c r="F67" s="276"/>
      <c r="G67" s="280">
        <f>SUM(G63:G66)</f>
        <v>46463272</v>
      </c>
      <c r="H67" s="280">
        <f t="shared" ref="H67:T67" si="32">SUM(H63:H66)</f>
        <v>0</v>
      </c>
      <c r="I67" s="280">
        <f t="shared" si="32"/>
        <v>46463272</v>
      </c>
      <c r="J67" s="280">
        <f t="shared" si="32"/>
        <v>21987776</v>
      </c>
      <c r="K67" s="280">
        <f t="shared" si="32"/>
        <v>0</v>
      </c>
      <c r="L67" s="280">
        <f t="shared" si="32"/>
        <v>21987776</v>
      </c>
      <c r="M67" s="280">
        <f t="shared" si="32"/>
        <v>0</v>
      </c>
      <c r="N67" s="280">
        <f t="shared" si="32"/>
        <v>0</v>
      </c>
      <c r="O67" s="280">
        <f t="shared" si="32"/>
        <v>0</v>
      </c>
      <c r="P67" s="280">
        <f t="shared" si="32"/>
        <v>7775896</v>
      </c>
      <c r="Q67" s="280">
        <f t="shared" si="32"/>
        <v>0</v>
      </c>
      <c r="R67" s="280">
        <f t="shared" si="32"/>
        <v>7775896</v>
      </c>
      <c r="S67" s="281">
        <f t="shared" si="32"/>
        <v>-16699600</v>
      </c>
      <c r="T67" s="280">
        <f t="shared" si="32"/>
        <v>374703.80645161291</v>
      </c>
      <c r="U67" s="4">
        <v>1657237000</v>
      </c>
    </row>
    <row r="68" spans="2:21" ht="47.4" customHeight="1">
      <c r="B68" s="385" t="s">
        <v>403</v>
      </c>
      <c r="C68" s="386"/>
      <c r="D68" s="386"/>
      <c r="E68" s="386"/>
      <c r="F68" s="387"/>
      <c r="G68" s="277">
        <f t="shared" ref="G68:R68" si="33">G67+G58+G50+G43+G35+G28+G20+G12</f>
        <v>1046252812</v>
      </c>
      <c r="H68" s="277">
        <f t="shared" si="33"/>
        <v>422383500</v>
      </c>
      <c r="I68" s="277">
        <f t="shared" si="33"/>
        <v>1468636312</v>
      </c>
      <c r="J68" s="277">
        <f t="shared" si="33"/>
        <v>336011622</v>
      </c>
      <c r="K68" s="277">
        <f t="shared" si="33"/>
        <v>64825500</v>
      </c>
      <c r="L68" s="277">
        <f t="shared" si="33"/>
        <v>400837122</v>
      </c>
      <c r="M68" s="277">
        <f t="shared" si="33"/>
        <v>30318016</v>
      </c>
      <c r="N68" s="277">
        <f t="shared" si="33"/>
        <v>65550000</v>
      </c>
      <c r="O68" s="277">
        <f t="shared" si="33"/>
        <v>95868016</v>
      </c>
      <c r="P68" s="277">
        <f t="shared" si="33"/>
        <v>521920763</v>
      </c>
      <c r="Q68" s="277">
        <f t="shared" si="33"/>
        <v>123245500</v>
      </c>
      <c r="R68" s="277">
        <f t="shared" si="33"/>
        <v>645166263</v>
      </c>
      <c r="S68" s="278">
        <f>S67+S58+S50+S43+S35+S28+S20+S12</f>
        <v>-326764911</v>
      </c>
      <c r="T68" s="277">
        <f>T67+T58+T50+T43+T35+T28+T20+T12</f>
        <v>11843841.225806452</v>
      </c>
      <c r="U68" s="119">
        <f>U67+U58+U50+U43+U35+U28+U20+U12</f>
        <v>3314474000</v>
      </c>
    </row>
    <row r="70" spans="2:21">
      <c r="P70" s="43">
        <f>R68+L68</f>
        <v>1046003385</v>
      </c>
    </row>
    <row r="71" spans="2:21">
      <c r="P71" s="176">
        <f>P70/I68</f>
        <v>0.7122276471399136</v>
      </c>
    </row>
    <row r="73" spans="2:21">
      <c r="P73" s="176">
        <f>O68/I68</f>
        <v>6.5276893412397119E-2</v>
      </c>
    </row>
    <row r="75" spans="2:21">
      <c r="J75" s="63"/>
      <c r="K75" s="63" t="s">
        <v>105</v>
      </c>
      <c r="L75" s="63" t="s">
        <v>106</v>
      </c>
      <c r="M75" s="63" t="s">
        <v>768</v>
      </c>
    </row>
    <row r="76" spans="2:21">
      <c r="G76" s="61" t="s">
        <v>746</v>
      </c>
      <c r="H76" s="62">
        <f>I68</f>
        <v>1468636312</v>
      </c>
      <c r="J76" s="63" t="s">
        <v>98</v>
      </c>
      <c r="K76" s="63">
        <f>G12</f>
        <v>162905304</v>
      </c>
      <c r="L76" s="63">
        <f>H12</f>
        <v>126488500</v>
      </c>
      <c r="M76" s="282">
        <f>(K76+L76)/H76</f>
        <v>0.19704933184302201</v>
      </c>
    </row>
    <row r="77" spans="2:21">
      <c r="G77" s="61" t="s">
        <v>742</v>
      </c>
      <c r="H77" s="62">
        <f>L68</f>
        <v>400837122</v>
      </c>
      <c r="I77" s="45"/>
      <c r="J77" s="63" t="s">
        <v>99</v>
      </c>
      <c r="K77" s="63">
        <f>G20</f>
        <v>90530367.599999994</v>
      </c>
      <c r="L77" s="63">
        <f>H20</f>
        <v>125695000</v>
      </c>
      <c r="M77" s="282">
        <f>(K77+L77)/H76</f>
        <v>0.1472286677329547</v>
      </c>
    </row>
    <row r="78" spans="2:21">
      <c r="G78" s="61" t="s">
        <v>744</v>
      </c>
      <c r="H78" s="62">
        <f>O68</f>
        <v>95868016</v>
      </c>
      <c r="I78" s="45"/>
      <c r="J78" s="63" t="s">
        <v>100</v>
      </c>
      <c r="K78" s="63">
        <f>G28</f>
        <v>135445952</v>
      </c>
      <c r="L78" s="63">
        <f>H28</f>
        <v>0</v>
      </c>
      <c r="M78" s="282">
        <f>(K78+L78)/H76</f>
        <v>9.2225659200506002E-2</v>
      </c>
    </row>
    <row r="79" spans="2:21">
      <c r="G79" s="61" t="s">
        <v>745</v>
      </c>
      <c r="H79" s="62">
        <f>R68</f>
        <v>645166263</v>
      </c>
      <c r="I79" s="45"/>
      <c r="J79" s="63" t="s">
        <v>101</v>
      </c>
      <c r="K79" s="63">
        <f>G35</f>
        <v>218406474</v>
      </c>
      <c r="L79" s="63">
        <f>H35</f>
        <v>0</v>
      </c>
      <c r="M79" s="282">
        <f>(K79+L79)/H76</f>
        <v>0.14871379130111009</v>
      </c>
    </row>
    <row r="80" spans="2:21" ht="36" customHeight="1">
      <c r="G80" s="61" t="s">
        <v>741</v>
      </c>
      <c r="H80" s="62">
        <f>S68</f>
        <v>-326764911</v>
      </c>
      <c r="I80" s="45"/>
      <c r="J80" s="63" t="s">
        <v>102</v>
      </c>
      <c r="K80" s="63">
        <f>G43</f>
        <v>119382486.40000001</v>
      </c>
      <c r="L80" s="63">
        <f>H43</f>
        <v>0</v>
      </c>
      <c r="M80" s="282">
        <f>(K80+L80)/H76</f>
        <v>8.1287984931697643E-2</v>
      </c>
    </row>
    <row r="81" spans="7:13">
      <c r="J81" s="63" t="s">
        <v>103</v>
      </c>
      <c r="K81" s="63">
        <f>G50</f>
        <v>189252088</v>
      </c>
      <c r="L81" s="63">
        <f>H50</f>
        <v>170200000</v>
      </c>
      <c r="M81" s="282">
        <f>(K81+L81)/H76</f>
        <v>0.24475228146204245</v>
      </c>
    </row>
    <row r="82" spans="7:13">
      <c r="J82" s="63" t="s">
        <v>104</v>
      </c>
      <c r="K82" s="63">
        <f>G58</f>
        <v>83866868</v>
      </c>
      <c r="L82" s="63">
        <f>H58</f>
        <v>0</v>
      </c>
      <c r="M82" s="282">
        <f>(K82+L82)/H76</f>
        <v>5.7105266507941281E-2</v>
      </c>
    </row>
    <row r="83" spans="7:13">
      <c r="J83" s="63" t="s">
        <v>409</v>
      </c>
      <c r="K83" s="63">
        <f>G67</f>
        <v>46463272</v>
      </c>
      <c r="L83" s="63">
        <f>H67</f>
        <v>0</v>
      </c>
      <c r="M83" s="282">
        <f>(K83+L83)/H76</f>
        <v>3.163701702072582E-2</v>
      </c>
    </row>
    <row r="91" spans="7:13">
      <c r="G91" s="64" t="s">
        <v>93</v>
      </c>
      <c r="H91" s="64">
        <f>G68</f>
        <v>1046252812</v>
      </c>
      <c r="I91" s="45"/>
    </row>
    <row r="92" spans="7:13">
      <c r="G92" s="64" t="s">
        <v>94</v>
      </c>
      <c r="H92" s="64">
        <f>H68</f>
        <v>422383500</v>
      </c>
      <c r="I92" s="45"/>
    </row>
    <row r="93" spans="7:13">
      <c r="G93" s="64" t="s">
        <v>95</v>
      </c>
      <c r="H93" s="64">
        <f>I68</f>
        <v>1468636312</v>
      </c>
    </row>
    <row r="95" spans="7:13">
      <c r="H95" s="54"/>
    </row>
  </sheetData>
  <mergeCells count="133">
    <mergeCell ref="M46:O46"/>
    <mergeCell ref="P22:R22"/>
    <mergeCell ref="P23:R23"/>
    <mergeCell ref="B68:F68"/>
    <mergeCell ref="E23:E24"/>
    <mergeCell ref="F23:F24"/>
    <mergeCell ref="E31:E32"/>
    <mergeCell ref="F31:F32"/>
    <mergeCell ref="E38:E39"/>
    <mergeCell ref="F38:F39"/>
    <mergeCell ref="E46:E47"/>
    <mergeCell ref="F46:F47"/>
    <mergeCell ref="E53:E54"/>
    <mergeCell ref="F53:F54"/>
    <mergeCell ref="E61:E62"/>
    <mergeCell ref="B59:T59"/>
    <mergeCell ref="C60:D60"/>
    <mergeCell ref="E60:F60"/>
    <mergeCell ref="G60:I61"/>
    <mergeCell ref="J60:O60"/>
    <mergeCell ref="S60:S61"/>
    <mergeCell ref="J61:L61"/>
    <mergeCell ref="M61:O61"/>
    <mergeCell ref="T22:T23"/>
    <mergeCell ref="F61:F62"/>
    <mergeCell ref="B60:B62"/>
    <mergeCell ref="C61:C62"/>
    <mergeCell ref="D61:D62"/>
    <mergeCell ref="G52:I53"/>
    <mergeCell ref="B51:T51"/>
    <mergeCell ref="C52:D52"/>
    <mergeCell ref="E52:F52"/>
    <mergeCell ref="J52:O52"/>
    <mergeCell ref="S52:S53"/>
    <mergeCell ref="J53:L53"/>
    <mergeCell ref="M53:O53"/>
    <mergeCell ref="B52:B54"/>
    <mergeCell ref="C53:C54"/>
    <mergeCell ref="D53:D54"/>
    <mergeCell ref="T60:T61"/>
    <mergeCell ref="P61:R61"/>
    <mergeCell ref="G45:I46"/>
    <mergeCell ref="B45:B47"/>
    <mergeCell ref="C46:C47"/>
    <mergeCell ref="D46:D47"/>
    <mergeCell ref="B36:T36"/>
    <mergeCell ref="C37:D37"/>
    <mergeCell ref="E37:F37"/>
    <mergeCell ref="J37:O37"/>
    <mergeCell ref="S37:S38"/>
    <mergeCell ref="J38:L38"/>
    <mergeCell ref="M38:O38"/>
    <mergeCell ref="G37:I38"/>
    <mergeCell ref="B37:B39"/>
    <mergeCell ref="C38:C39"/>
    <mergeCell ref="D38:D39"/>
    <mergeCell ref="P37:R37"/>
    <mergeCell ref="T37:T38"/>
    <mergeCell ref="P38:R38"/>
    <mergeCell ref="B44:T44"/>
    <mergeCell ref="C45:D45"/>
    <mergeCell ref="E45:F45"/>
    <mergeCell ref="J45:O45"/>
    <mergeCell ref="S45:S46"/>
    <mergeCell ref="J46:L46"/>
    <mergeCell ref="D7:D8"/>
    <mergeCell ref="E7:E8"/>
    <mergeCell ref="F7:F8"/>
    <mergeCell ref="J7:L7"/>
    <mergeCell ref="M7:O7"/>
    <mergeCell ref="C14:D14"/>
    <mergeCell ref="G30:I31"/>
    <mergeCell ref="J31:L31"/>
    <mergeCell ref="M31:O31"/>
    <mergeCell ref="B29:T29"/>
    <mergeCell ref="C30:D30"/>
    <mergeCell ref="E30:F30"/>
    <mergeCell ref="J30:O30"/>
    <mergeCell ref="S30:S31"/>
    <mergeCell ref="B30:B32"/>
    <mergeCell ref="C31:C32"/>
    <mergeCell ref="D31:D32"/>
    <mergeCell ref="T30:T31"/>
    <mergeCell ref="P31:R31"/>
    <mergeCell ref="P30:R30"/>
    <mergeCell ref="J15:L15"/>
    <mergeCell ref="M15:O15"/>
    <mergeCell ref="G14:I15"/>
    <mergeCell ref="C15:C16"/>
    <mergeCell ref="D15:D16"/>
    <mergeCell ref="P60:R60"/>
    <mergeCell ref="E3:F3"/>
    <mergeCell ref="J3:O3"/>
    <mergeCell ref="B2:T2"/>
    <mergeCell ref="B13:T13"/>
    <mergeCell ref="C3:D3"/>
    <mergeCell ref="B6:B8"/>
    <mergeCell ref="B5:T5"/>
    <mergeCell ref="P14:R14"/>
    <mergeCell ref="T14:T15"/>
    <mergeCell ref="E15:E16"/>
    <mergeCell ref="F15:F16"/>
    <mergeCell ref="P15:R15"/>
    <mergeCell ref="C6:D6"/>
    <mergeCell ref="E6:F6"/>
    <mergeCell ref="G6:I7"/>
    <mergeCell ref="J6:O6"/>
    <mergeCell ref="S6:S7"/>
    <mergeCell ref="C7:C8"/>
    <mergeCell ref="P6:R6"/>
    <mergeCell ref="T6:T7"/>
    <mergeCell ref="P7:R7"/>
    <mergeCell ref="P45:R45"/>
    <mergeCell ref="T45:T46"/>
    <mergeCell ref="P46:R46"/>
    <mergeCell ref="P52:R52"/>
    <mergeCell ref="T52:T53"/>
    <mergeCell ref="P53:R53"/>
    <mergeCell ref="B21:T21"/>
    <mergeCell ref="C22:D22"/>
    <mergeCell ref="E22:F22"/>
    <mergeCell ref="J22:O22"/>
    <mergeCell ref="S22:S23"/>
    <mergeCell ref="J23:L23"/>
    <mergeCell ref="M23:O23"/>
    <mergeCell ref="G22:I23"/>
    <mergeCell ref="B22:B24"/>
    <mergeCell ref="C23:C24"/>
    <mergeCell ref="D23:D24"/>
    <mergeCell ref="B14:B16"/>
    <mergeCell ref="E14:F14"/>
    <mergeCell ref="J14:O14"/>
    <mergeCell ref="S14:S15"/>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sheetPr>
    <tabColor theme="9" tint="-0.249977111117893"/>
  </sheetPr>
  <dimension ref="A1:H25"/>
  <sheetViews>
    <sheetView topLeftCell="A15" workbookViewId="0">
      <selection sqref="A1:F23"/>
    </sheetView>
  </sheetViews>
  <sheetFormatPr defaultRowHeight="14.4"/>
  <cols>
    <col min="1" max="1" width="26.44140625" customWidth="1"/>
    <col min="2" max="2" width="12" customWidth="1"/>
    <col min="3" max="3" width="13.44140625" customWidth="1"/>
    <col min="4" max="4" width="16.109375" customWidth="1"/>
    <col min="5" max="5" width="15.109375" customWidth="1"/>
    <col min="6" max="6" width="12.44140625" customWidth="1"/>
    <col min="7" max="7" width="27.109375" customWidth="1"/>
  </cols>
  <sheetData>
    <row r="1" spans="1:8" ht="15" thickBot="1">
      <c r="A1" s="407" t="s">
        <v>743</v>
      </c>
      <c r="B1" s="407"/>
      <c r="C1" s="407"/>
      <c r="D1" s="407"/>
      <c r="E1" s="407"/>
      <c r="F1" s="407"/>
    </row>
    <row r="2" spans="1:8" ht="24">
      <c r="A2" s="408" t="s">
        <v>723</v>
      </c>
      <c r="B2" s="411" t="s">
        <v>722</v>
      </c>
      <c r="C2" s="152" t="s">
        <v>724</v>
      </c>
      <c r="D2" s="152" t="s">
        <v>728</v>
      </c>
      <c r="E2" s="152" t="s">
        <v>725</v>
      </c>
      <c r="F2" s="106" t="s">
        <v>711</v>
      </c>
    </row>
    <row r="3" spans="1:8">
      <c r="A3" s="409"/>
      <c r="B3" s="412"/>
      <c r="C3" s="147" t="s">
        <v>708</v>
      </c>
      <c r="D3" s="147" t="s">
        <v>709</v>
      </c>
      <c r="E3" s="153" t="s">
        <v>726</v>
      </c>
      <c r="F3" s="107" t="s">
        <v>710</v>
      </c>
    </row>
    <row r="4" spans="1:8" ht="24.6" thickBot="1">
      <c r="A4" s="410"/>
      <c r="B4" s="413"/>
      <c r="C4" s="95"/>
      <c r="D4" s="96" t="s">
        <v>107</v>
      </c>
      <c r="E4" s="154" t="s">
        <v>727</v>
      </c>
      <c r="F4" s="108"/>
    </row>
    <row r="5" spans="1:8" ht="18" customHeight="1" thickBot="1">
      <c r="A5" s="414" t="s">
        <v>731</v>
      </c>
      <c r="B5" s="97" t="s">
        <v>87</v>
      </c>
      <c r="C5" s="98">
        <f>'Totali_Qellimet politike'!G12</f>
        <v>162905304</v>
      </c>
      <c r="D5" s="98">
        <f>'Totali_Qellimet politike'!J12+'Totali_Qellimet politike'!M12</f>
        <v>65666832</v>
      </c>
      <c r="E5" s="168">
        <f>'Totali_Qellimet politike'!P12</f>
        <v>50590976</v>
      </c>
      <c r="F5" s="397">
        <f>(C5+C6)-(D5+D6)-(E5+E6)</f>
        <v>56709996</v>
      </c>
      <c r="G5" s="104">
        <f>C5+C6</f>
        <v>289393804</v>
      </c>
      <c r="H5">
        <f>G5/C21</f>
        <v>0.19704933184302201</v>
      </c>
    </row>
    <row r="6" spans="1:8" ht="19.2" customHeight="1" thickBot="1">
      <c r="A6" s="396"/>
      <c r="B6" s="99" t="s">
        <v>88</v>
      </c>
      <c r="C6" s="100">
        <f>'Totali_Qellimet politike'!H12</f>
        <v>126488500</v>
      </c>
      <c r="D6" s="100">
        <f>'Totali_Qellimet politike'!K12+'Totali_Qellimet politike'!N12</f>
        <v>94725500</v>
      </c>
      <c r="E6" s="169">
        <f>'Totali_Qellimet politike'!Q12</f>
        <v>21700500</v>
      </c>
      <c r="F6" s="398"/>
      <c r="G6" s="103"/>
    </row>
    <row r="7" spans="1:8" ht="15" thickBot="1">
      <c r="A7" s="395" t="s">
        <v>732</v>
      </c>
      <c r="B7" s="97" t="s">
        <v>87</v>
      </c>
      <c r="C7" s="98">
        <f>'Totali_Qellimet politike'!G20</f>
        <v>90530367.599999994</v>
      </c>
      <c r="D7" s="98">
        <f>'Totali_Qellimet politike'!J20+'Totali_Qellimet politike'!M20</f>
        <v>11384346</v>
      </c>
      <c r="E7" s="168">
        <f>'Totali_Qellimet politike'!P20</f>
        <v>150725133</v>
      </c>
      <c r="F7" s="397">
        <f>(C7+C8)-(D7+D8)-(E7+E8)</f>
        <v>52620888.599999994</v>
      </c>
      <c r="G7" s="104">
        <f>C7+C8</f>
        <v>216225367.59999999</v>
      </c>
      <c r="H7">
        <f>G7/C21</f>
        <v>0.1472286677329547</v>
      </c>
    </row>
    <row r="8" spans="1:8" ht="15" thickBot="1">
      <c r="A8" s="396"/>
      <c r="B8" s="99" t="s">
        <v>88</v>
      </c>
      <c r="C8" s="100">
        <f>'Totali_Qellimet politike'!H20</f>
        <v>125695000</v>
      </c>
      <c r="D8" s="100">
        <f>'Totali_Qellimet politike'!K20+'Totali_Qellimet politike'!N20</f>
        <v>1150000</v>
      </c>
      <c r="E8" s="169">
        <f>'Totali_Qellimet politike'!Q20</f>
        <v>345000</v>
      </c>
      <c r="F8" s="398"/>
      <c r="G8" s="103"/>
    </row>
    <row r="9" spans="1:8" ht="15" thickBot="1">
      <c r="A9" s="395" t="s">
        <v>733</v>
      </c>
      <c r="B9" s="97" t="s">
        <v>87</v>
      </c>
      <c r="C9" s="98">
        <f>'Totali_Qellimet politike'!G28</f>
        <v>135445952</v>
      </c>
      <c r="D9" s="98">
        <f>'Totali_Qellimet politike'!J28+'Totali_Qellimet politike'!M28</f>
        <v>75196704</v>
      </c>
      <c r="E9" s="168">
        <f>'Totali_Qellimet politike'!P28</f>
        <v>44818448</v>
      </c>
      <c r="F9" s="397">
        <f>(C9+C10)-(D9+D10)-(E9+E10)</f>
        <v>15430800</v>
      </c>
      <c r="G9" s="105"/>
    </row>
    <row r="10" spans="1:8" ht="15" thickBot="1">
      <c r="A10" s="396"/>
      <c r="B10" s="99" t="s">
        <v>88</v>
      </c>
      <c r="C10" s="100">
        <f>'Totali_Qellimet politike'!H28</f>
        <v>0</v>
      </c>
      <c r="D10" s="100">
        <f>'Totali_Qellimet politike'!K28+'Totali_Qellimet politike'!N28</f>
        <v>0</v>
      </c>
      <c r="E10" s="169">
        <f>'Totali_Qellimet politike'!Q28</f>
        <v>0</v>
      </c>
      <c r="F10" s="398"/>
    </row>
    <row r="11" spans="1:8" ht="15" thickBot="1">
      <c r="A11" s="395" t="s">
        <v>734</v>
      </c>
      <c r="B11" s="97" t="s">
        <v>87</v>
      </c>
      <c r="C11" s="98">
        <f>'Totali_Qellimet politike'!G35</f>
        <v>218406474</v>
      </c>
      <c r="D11" s="98">
        <f>'Totali_Qellimet politike'!J35+'Totali_Qellimet politike'!M35</f>
        <v>86929578</v>
      </c>
      <c r="E11" s="168">
        <f>'Totali_Qellimet politike'!P35</f>
        <v>92657748</v>
      </c>
      <c r="F11" s="397">
        <f>(C11+C12)-(D11+D12)-(E11+E12)</f>
        <v>38819148</v>
      </c>
      <c r="G11" s="92">
        <f>C11</f>
        <v>218406474</v>
      </c>
      <c r="H11">
        <f>G11/C21</f>
        <v>0.14871379130111009</v>
      </c>
    </row>
    <row r="12" spans="1:8" ht="15" thickBot="1">
      <c r="A12" s="396"/>
      <c r="B12" s="99" t="s">
        <v>88</v>
      </c>
      <c r="C12" s="100">
        <f>'Totali_Qellimet politike'!H35</f>
        <v>0</v>
      </c>
      <c r="D12" s="100">
        <f>'Totali_Qellimet politike'!K35+'Totali_Qellimet politike'!N35</f>
        <v>0</v>
      </c>
      <c r="E12" s="169">
        <f>'Totali_Qellimet politike'!Q35</f>
        <v>0</v>
      </c>
      <c r="F12" s="398"/>
    </row>
    <row r="13" spans="1:8" ht="15" thickBot="1">
      <c r="A13" s="395" t="s">
        <v>735</v>
      </c>
      <c r="B13" s="97" t="s">
        <v>87</v>
      </c>
      <c r="C13" s="98">
        <f>'Totali_Qellimet politike'!G43</f>
        <v>119382486.40000001</v>
      </c>
      <c r="D13" s="98">
        <f>'Totali_Qellimet politike'!J43+'Totali_Qellimet politike'!M43</f>
        <v>66142356</v>
      </c>
      <c r="E13" s="168">
        <f>'Totali_Qellimet politike'!P43</f>
        <v>41349332</v>
      </c>
      <c r="F13" s="397">
        <f>(C13+C14)-(D13+D14)-(E13+E14)</f>
        <v>11890798.400000006</v>
      </c>
    </row>
    <row r="14" spans="1:8" ht="15" thickBot="1">
      <c r="A14" s="396"/>
      <c r="B14" s="99" t="s">
        <v>88</v>
      </c>
      <c r="C14" s="100">
        <f>'Totali_Qellimet politike'!H43</f>
        <v>0</v>
      </c>
      <c r="D14" s="100">
        <f>'Totali_Qellimet politike'!K43+'Totali_Qellimet politike'!N43</f>
        <v>0</v>
      </c>
      <c r="E14" s="169">
        <f>'Totali_Qellimet politike'!Q43</f>
        <v>0</v>
      </c>
      <c r="F14" s="398"/>
    </row>
    <row r="15" spans="1:8" ht="15" thickBot="1">
      <c r="A15" s="399" t="s">
        <v>736</v>
      </c>
      <c r="B15" s="97" t="s">
        <v>87</v>
      </c>
      <c r="C15" s="98">
        <f>'Totali_Qellimet politike'!G50</f>
        <v>189252088</v>
      </c>
      <c r="D15" s="98">
        <f>'Totali_Qellimet politike'!J50+'Totali_Qellimet politike'!M50</f>
        <v>8920544</v>
      </c>
      <c r="E15" s="168">
        <f>'Totali_Qellimet politike'!P50</f>
        <v>111692264</v>
      </c>
      <c r="F15" s="397">
        <f>(C15+C16)-(D15+D16)-(E15+E16)</f>
        <v>103139280</v>
      </c>
      <c r="G15" s="92">
        <f>C15+C16</f>
        <v>359452088</v>
      </c>
      <c r="H15">
        <f>G15/C21</f>
        <v>0.24475228146204245</v>
      </c>
    </row>
    <row r="16" spans="1:8" ht="15" thickBot="1">
      <c r="A16" s="400"/>
      <c r="B16" s="99" t="s">
        <v>88</v>
      </c>
      <c r="C16" s="100">
        <f>'Totali_Qellimet politike'!H50</f>
        <v>170200000</v>
      </c>
      <c r="D16" s="100">
        <f>'Totali_Qellimet politike'!K50+'Totali_Qellimet politike'!N50</f>
        <v>34500000</v>
      </c>
      <c r="E16" s="169">
        <f>'Totali_Qellimet politike'!Q50</f>
        <v>101200000</v>
      </c>
      <c r="F16" s="398"/>
    </row>
    <row r="17" spans="1:6" ht="15" thickBot="1">
      <c r="A17" s="399" t="s">
        <v>737</v>
      </c>
      <c r="B17" s="97" t="s">
        <v>87</v>
      </c>
      <c r="C17" s="98">
        <f>'Totali_Qellimet politike'!G58</f>
        <v>83866868</v>
      </c>
      <c r="D17" s="98">
        <f>'Totali_Qellimet politike'!J58+'Totali_Qellimet politike'!M58</f>
        <v>30101502</v>
      </c>
      <c r="E17" s="168">
        <f>'Totali_Qellimet politike'!P58</f>
        <v>22310966</v>
      </c>
      <c r="F17" s="397">
        <f>(C17+C18)-(D17+D18)-(E17+E18)</f>
        <v>31454400</v>
      </c>
    </row>
    <row r="18" spans="1:6" ht="15" thickBot="1">
      <c r="A18" s="400"/>
      <c r="B18" s="99" t="s">
        <v>88</v>
      </c>
      <c r="C18" s="100">
        <f>'Totali_Qellimet politike'!H58</f>
        <v>0</v>
      </c>
      <c r="D18" s="100">
        <f>'Totali_Qellimet politike'!K58+'Totali_Qellimet politike'!N58</f>
        <v>0</v>
      </c>
      <c r="E18" s="168">
        <f>'Totali_Qellimet politike'!Q58</f>
        <v>0</v>
      </c>
      <c r="F18" s="398"/>
    </row>
    <row r="19" spans="1:6" ht="15" thickBot="1">
      <c r="A19" s="399" t="s">
        <v>738</v>
      </c>
      <c r="B19" s="97" t="s">
        <v>87</v>
      </c>
      <c r="C19" s="157">
        <f>'Totali_Qellimet politike'!G67</f>
        <v>46463272</v>
      </c>
      <c r="D19" s="157">
        <f>'Totali_Qellimet politike'!J67+'Totali_Qellimet politike'!M67</f>
        <v>21987776</v>
      </c>
      <c r="E19" s="170">
        <f>'Totali_Qellimet politike'!P67</f>
        <v>7775896</v>
      </c>
      <c r="F19" s="397">
        <f>(C19+C20)-(D19+D20)-(E19+E20)</f>
        <v>16699600</v>
      </c>
    </row>
    <row r="20" spans="1:6" ht="15" thickBot="1">
      <c r="A20" s="400"/>
      <c r="B20" s="99" t="s">
        <v>88</v>
      </c>
      <c r="C20" s="100">
        <f>'Totali_Qellimet politike'!H67</f>
        <v>0</v>
      </c>
      <c r="D20" s="100">
        <f>'Totali_Qellimet politike'!K67+'Totali_Qellimet politike'!N67</f>
        <v>0</v>
      </c>
      <c r="E20" s="169">
        <f>'Totali_Qellimet politike'!Q67</f>
        <v>0</v>
      </c>
      <c r="F20" s="398"/>
    </row>
    <row r="21" spans="1:6" ht="15" thickBot="1">
      <c r="A21" s="109" t="s">
        <v>108</v>
      </c>
      <c r="B21" s="101"/>
      <c r="C21" s="102">
        <f>SUM(C5:C20)</f>
        <v>1468636312</v>
      </c>
      <c r="D21" s="102">
        <f>SUM(D5:D20)</f>
        <v>496705138</v>
      </c>
      <c r="E21" s="102">
        <f>SUM(E5:E20)</f>
        <v>645166263</v>
      </c>
      <c r="F21" s="110">
        <f>SUM(F5:F20)</f>
        <v>326764911</v>
      </c>
    </row>
    <row r="22" spans="1:6">
      <c r="A22" s="111" t="s">
        <v>109</v>
      </c>
      <c r="B22" s="401"/>
      <c r="C22" s="403">
        <f>C21/124</f>
        <v>11843841.225806452</v>
      </c>
      <c r="D22" s="403">
        <f>D21/124</f>
        <v>4005686.5967741935</v>
      </c>
      <c r="E22" s="171"/>
      <c r="F22" s="405">
        <f>F21/124</f>
        <v>2635200.8951612902</v>
      </c>
    </row>
    <row r="23" spans="1:6" ht="15" thickBot="1">
      <c r="A23" s="112" t="s">
        <v>110</v>
      </c>
      <c r="B23" s="402"/>
      <c r="C23" s="404"/>
      <c r="D23" s="404"/>
      <c r="E23" s="172"/>
      <c r="F23" s="406"/>
    </row>
    <row r="25" spans="1:6">
      <c r="D25" s="92"/>
      <c r="E25" s="92"/>
    </row>
  </sheetData>
  <mergeCells count="23">
    <mergeCell ref="A9:A10"/>
    <mergeCell ref="F19:F20"/>
    <mergeCell ref="A1:F1"/>
    <mergeCell ref="F7:F8"/>
    <mergeCell ref="A15:A16"/>
    <mergeCell ref="F15:F16"/>
    <mergeCell ref="A17:A18"/>
    <mergeCell ref="F17:F18"/>
    <mergeCell ref="A2:A4"/>
    <mergeCell ref="B2:B4"/>
    <mergeCell ref="A5:A6"/>
    <mergeCell ref="F5:F6"/>
    <mergeCell ref="A7:A8"/>
    <mergeCell ref="F9:F10"/>
    <mergeCell ref="A11:A12"/>
    <mergeCell ref="F11:F12"/>
    <mergeCell ref="A13:A14"/>
    <mergeCell ref="F13:F14"/>
    <mergeCell ref="A19:A20"/>
    <mergeCell ref="B22:B23"/>
    <mergeCell ref="C22:C23"/>
    <mergeCell ref="D22:D23"/>
    <mergeCell ref="F22: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3</vt:i4>
      </vt:variant>
      <vt:variant>
        <vt:lpstr>Named Ranges</vt:lpstr>
      </vt:variant>
      <vt:variant>
        <vt:i4>1</vt:i4>
      </vt:variant>
    </vt:vector>
  </HeadingPairs>
  <TitlesOfParts>
    <vt:vector size="7" baseType="lpstr">
      <vt:lpstr>Kostimi i planit te veprimit</vt:lpstr>
      <vt:lpstr>Totali_Qellimet politike</vt:lpstr>
      <vt:lpstr>Nevojat kapitale</vt:lpstr>
      <vt:lpstr>Grafik Kostot</vt:lpstr>
      <vt:lpstr>Grafik-Ndarja e kostove</vt:lpstr>
      <vt:lpstr>Grafik_ Qellimet e politikave</vt:lpstr>
      <vt:lpstr>'Nevojat kapitale'!_Hlk14952534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Oriana Arapi</dc:creator>
  <cp:lastModifiedBy>user</cp:lastModifiedBy>
  <cp:lastPrinted>2021-03-04T22:52:01Z</cp:lastPrinted>
  <dcterms:created xsi:type="dcterms:W3CDTF">2019-02-21T16:54:35Z</dcterms:created>
  <dcterms:modified xsi:type="dcterms:W3CDTF">2021-03-05T07:28:25Z</dcterms:modified>
</cp:coreProperties>
</file>